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 tabRatio="500"/>
  </bookViews>
  <sheets>
    <sheet name="RESUMO" sheetId="1" r:id="rId1"/>
    <sheet name="Item 01 M" sheetId="2" r:id="rId2"/>
    <sheet name="item 02 M" sheetId="3" r:id="rId3"/>
    <sheet name="Item 3 " sheetId="4" r:id="rId4"/>
    <sheet name="Item 4 R" sheetId="5" r:id="rId5"/>
    <sheet name="Item 5  R " sheetId="6" r:id="rId6"/>
    <sheet name="Item 6 R " sheetId="7" r:id="rId7"/>
    <sheet name="Item 7 Z" sheetId="8" r:id="rId8"/>
    <sheet name="Item 8 Z" sheetId="9" r:id="rId9"/>
    <sheet name="Item 9 Z" sheetId="10" r:id="rId10"/>
    <sheet name="Item 10" sheetId="11" r:id="rId11"/>
    <sheet name="Item 11" sheetId="12" r:id="rId12"/>
    <sheet name="Item 12" sheetId="13" r:id="rId13"/>
    <sheet name="Item 13" sheetId="14" r:id="rId14"/>
    <sheet name="item 14" sheetId="15" r:id="rId15"/>
  </sheets>
  <calcPr calcId="125725"/>
  <customWorkbookViews>
    <customWorkbookView name="User - Modo de exibição pessoal" guid="{BD108985-86A0-4B5F-92C9-20C78F86C30A}" mergeInterval="0" personalView="1" maximized="1" xWindow="1" yWindow="1" windowWidth="1362" windowHeight="621" tabRatio="500" activeSheetId="1"/>
  </customWorkbookView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6" i="1"/>
  <c r="G34"/>
  <c r="G32"/>
  <c r="G30"/>
  <c r="G28"/>
  <c r="G26"/>
  <c r="G24"/>
  <c r="G22"/>
  <c r="G20"/>
  <c r="G18"/>
  <c r="G16"/>
  <c r="G14"/>
  <c r="G10"/>
  <c r="E36"/>
  <c r="B12" i="6"/>
  <c r="D27" i="3"/>
  <c r="D27" i="15"/>
  <c r="D27" i="14"/>
  <c r="D27" i="13"/>
  <c r="D27" i="12"/>
  <c r="D27" i="11"/>
  <c r="D27" i="10"/>
  <c r="D27" i="9"/>
  <c r="D27" i="8"/>
  <c r="D27" i="7"/>
  <c r="D27" i="5"/>
  <c r="D27" i="4"/>
  <c r="D27" i="6"/>
  <c r="D27" i="2"/>
  <c r="B12" i="15"/>
  <c r="B12" i="14"/>
  <c r="B12" i="12"/>
  <c r="B12" i="9"/>
  <c r="B12" i="7"/>
  <c r="B12" i="5"/>
  <c r="B12" i="3"/>
  <c r="G3" i="1"/>
  <c r="D16" i="10" s="1"/>
  <c r="B12" i="13"/>
  <c r="D16" i="9" l="1"/>
  <c r="D20" s="1"/>
  <c r="D16" i="8"/>
  <c r="D18" s="1"/>
  <c r="D19" s="1"/>
  <c r="D16" i="14"/>
  <c r="D17" s="1"/>
  <c r="D16" i="7"/>
  <c r="D20" s="1"/>
  <c r="D16" i="15"/>
  <c r="D21" s="1"/>
  <c r="D16" i="6"/>
  <c r="D21" s="1"/>
  <c r="D16" i="5"/>
  <c r="D17" s="1"/>
  <c r="D16" i="13"/>
  <c r="D18" s="1"/>
  <c r="D19" s="1"/>
  <c r="D16" i="4"/>
  <c r="D17" s="1"/>
  <c r="D16" i="12"/>
  <c r="D20" s="1"/>
  <c r="D16" i="3"/>
  <c r="D18" s="1"/>
  <c r="D19" s="1"/>
  <c r="D16" i="11"/>
  <c r="D20" s="1"/>
  <c r="D16" i="2"/>
  <c r="D13" i="15"/>
  <c r="B25" s="1"/>
  <c r="B26" s="1"/>
  <c r="B9"/>
  <c r="B11" s="1"/>
  <c r="D13" i="14"/>
  <c r="B25" s="1"/>
  <c r="B26" s="1"/>
  <c r="B9"/>
  <c r="B11" s="1"/>
  <c r="D13" i="13"/>
  <c r="B9"/>
  <c r="B11" s="1"/>
  <c r="D13" i="12"/>
  <c r="B9"/>
  <c r="B11" s="1"/>
  <c r="D13" i="11"/>
  <c r="B25" s="1"/>
  <c r="B26" s="1"/>
  <c r="B9"/>
  <c r="B11" s="1"/>
  <c r="D13" i="10"/>
  <c r="B9"/>
  <c r="B11" s="1"/>
  <c r="D13" i="9"/>
  <c r="B9"/>
  <c r="B11" s="1"/>
  <c r="D13" i="8"/>
  <c r="B25" s="1"/>
  <c r="B26" s="1"/>
  <c r="B9"/>
  <c r="B11" s="1"/>
  <c r="D13" i="7"/>
  <c r="B25" s="1"/>
  <c r="B26" s="1"/>
  <c r="B9"/>
  <c r="B11" s="1"/>
  <c r="D13" i="6"/>
  <c r="B9"/>
  <c r="B11" s="1"/>
  <c r="D13" i="5"/>
  <c r="B25" s="1"/>
  <c r="B26" s="1"/>
  <c r="B9"/>
  <c r="B11" s="1"/>
  <c r="D13" i="4"/>
  <c r="B9"/>
  <c r="B11" s="1"/>
  <c r="D13" i="2"/>
  <c r="D13" i="3"/>
  <c r="B9"/>
  <c r="B11" s="1"/>
  <c r="B9" i="2"/>
  <c r="G2" i="1"/>
  <c r="L38"/>
  <c r="N36"/>
  <c r="M36"/>
  <c r="N34"/>
  <c r="M34"/>
  <c r="N32"/>
  <c r="M32"/>
  <c r="N30"/>
  <c r="M30"/>
  <c r="N28"/>
  <c r="M28"/>
  <c r="N26"/>
  <c r="M26"/>
  <c r="N24"/>
  <c r="M24"/>
  <c r="N22"/>
  <c r="M22"/>
  <c r="N20"/>
  <c r="M20"/>
  <c r="N18"/>
  <c r="M18"/>
  <c r="N16"/>
  <c r="M16"/>
  <c r="N14"/>
  <c r="M14"/>
  <c r="N12"/>
  <c r="M12"/>
  <c r="N10"/>
  <c r="M10"/>
  <c r="N8"/>
  <c r="M8"/>
  <c r="H36"/>
  <c r="D26"/>
  <c r="D34"/>
  <c r="A34"/>
  <c r="D32"/>
  <c r="A32"/>
  <c r="D30"/>
  <c r="A30"/>
  <c r="D28"/>
  <c r="A28"/>
  <c r="A26"/>
  <c r="D24"/>
  <c r="A24"/>
  <c r="D22"/>
  <c r="A22"/>
  <c r="D20"/>
  <c r="A20"/>
  <c r="D18"/>
  <c r="A18"/>
  <c r="D16"/>
  <c r="A16"/>
  <c r="D14"/>
  <c r="A14"/>
  <c r="D12"/>
  <c r="G12" s="1"/>
  <c r="A12"/>
  <c r="D10"/>
  <c r="A10"/>
  <c r="D8"/>
  <c r="G8" s="1"/>
  <c r="A8"/>
  <c r="B25" i="10"/>
  <c r="B26" s="1"/>
  <c r="D32" i="4"/>
  <c r="B23"/>
  <c r="B21"/>
  <c r="B17"/>
  <c r="D11"/>
  <c r="D12" s="1"/>
  <c r="D32" i="7"/>
  <c r="B23"/>
  <c r="D21"/>
  <c r="B21"/>
  <c r="D18"/>
  <c r="D19" s="1"/>
  <c r="D17"/>
  <c r="B17"/>
  <c r="D11"/>
  <c r="D12" s="1"/>
  <c r="D32" i="6"/>
  <c r="B23"/>
  <c r="B21"/>
  <c r="D20"/>
  <c r="B17"/>
  <c r="D12"/>
  <c r="D11"/>
  <c r="D32" i="5"/>
  <c r="B23"/>
  <c r="D21"/>
  <c r="B21"/>
  <c r="B17"/>
  <c r="D11"/>
  <c r="D12" s="1"/>
  <c r="D32" i="15"/>
  <c r="B23"/>
  <c r="B21"/>
  <c r="D20"/>
  <c r="B17"/>
  <c r="D11"/>
  <c r="D12" s="1"/>
  <c r="D32" i="14"/>
  <c r="B23"/>
  <c r="B21"/>
  <c r="D20"/>
  <c r="B17"/>
  <c r="D12"/>
  <c r="D11"/>
  <c r="D32" i="13"/>
  <c r="B23"/>
  <c r="D21"/>
  <c r="B21"/>
  <c r="D17"/>
  <c r="B17"/>
  <c r="D11"/>
  <c r="D12" s="1"/>
  <c r="D32" i="12"/>
  <c r="D21"/>
  <c r="B21"/>
  <c r="B23" s="1"/>
  <c r="D18"/>
  <c r="D19" s="1"/>
  <c r="D17"/>
  <c r="B17"/>
  <c r="D11"/>
  <c r="D12" s="1"/>
  <c r="D32" i="11"/>
  <c r="B23"/>
  <c r="D21"/>
  <c r="B21"/>
  <c r="D18"/>
  <c r="D19" s="1"/>
  <c r="D17"/>
  <c r="B17"/>
  <c r="D12"/>
  <c r="D11"/>
  <c r="D32" i="10"/>
  <c r="B23"/>
  <c r="D21"/>
  <c r="B21"/>
  <c r="D20"/>
  <c r="D18"/>
  <c r="D19" s="1"/>
  <c r="D17"/>
  <c r="B17"/>
  <c r="D11"/>
  <c r="D12" s="1"/>
  <c r="D32" i="9"/>
  <c r="B21"/>
  <c r="B23" s="1"/>
  <c r="B17"/>
  <c r="D12"/>
  <c r="D11"/>
  <c r="D32" i="8"/>
  <c r="B23"/>
  <c r="D21"/>
  <c r="B21"/>
  <c r="D17"/>
  <c r="B17"/>
  <c r="D11"/>
  <c r="D12" s="1"/>
  <c r="D32" i="3"/>
  <c r="B23"/>
  <c r="D21"/>
  <c r="B21"/>
  <c r="B17"/>
  <c r="D12"/>
  <c r="D11"/>
  <c r="G38" i="1" l="1"/>
  <c r="D18" i="9"/>
  <c r="D19" s="1"/>
  <c r="D20" i="8"/>
  <c r="D17" i="9"/>
  <c r="D18" i="15"/>
  <c r="D19" s="1"/>
  <c r="D18" i="6"/>
  <c r="D19" s="1"/>
  <c r="D20" i="4"/>
  <c r="D17" i="3"/>
  <c r="D17" i="15"/>
  <c r="D22" s="1"/>
  <c r="D24" s="1"/>
  <c r="D25" s="1"/>
  <c r="D17" i="6"/>
  <c r="D22" s="1"/>
  <c r="D24" s="1"/>
  <c r="D25" s="1"/>
  <c r="D21" i="9"/>
  <c r="D21" i="14"/>
  <c r="D22" s="1"/>
  <c r="D24" s="1"/>
  <c r="D25" s="1"/>
  <c r="D20" i="5"/>
  <c r="D18"/>
  <c r="D19" s="1"/>
  <c r="D21" i="4"/>
  <c r="D18" i="14"/>
  <c r="D19" s="1"/>
  <c r="D20" i="3"/>
  <c r="D20" i="13"/>
  <c r="D22" s="1"/>
  <c r="D24" s="1"/>
  <c r="D25" s="1"/>
  <c r="D18" i="4"/>
  <c r="D19" s="1"/>
  <c r="D22" i="12"/>
  <c r="D24" s="1"/>
  <c r="D25" s="1"/>
  <c r="D22" i="10"/>
  <c r="D24" s="1"/>
  <c r="D25" s="1"/>
  <c r="D22" i="7"/>
  <c r="D24" s="1"/>
  <c r="D25" s="1"/>
  <c r="D22" i="3"/>
  <c r="D24" s="1"/>
  <c r="D25" s="1"/>
  <c r="D22" i="11"/>
  <c r="D24" s="1"/>
  <c r="D25" s="1"/>
  <c r="D22" i="9"/>
  <c r="D24" s="1"/>
  <c r="D25" s="1"/>
  <c r="D22" i="8"/>
  <c r="D24" s="1"/>
  <c r="D25" s="1"/>
  <c r="D14" i="6"/>
  <c r="B25" i="4"/>
  <c r="B26" s="1"/>
  <c r="B34" s="1"/>
  <c r="D14" i="3"/>
  <c r="N38" i="1"/>
  <c r="D14" i="14"/>
  <c r="D14" i="4"/>
  <c r="D38" i="1"/>
  <c r="M38"/>
  <c r="L40" s="1"/>
  <c r="D33" i="13"/>
  <c r="D33" i="5"/>
  <c r="D33" i="4"/>
  <c r="B25" i="3"/>
  <c r="B26" s="1"/>
  <c r="B34" s="1"/>
  <c r="D33" i="8"/>
  <c r="D33" i="6"/>
  <c r="D33" i="12"/>
  <c r="D14" i="10"/>
  <c r="D33"/>
  <c r="D33" i="7"/>
  <c r="D14"/>
  <c r="B34"/>
  <c r="B25" i="6"/>
  <c r="B26" s="1"/>
  <c r="B34" s="1"/>
  <c r="D14" i="5"/>
  <c r="B34"/>
  <c r="D33" i="15"/>
  <c r="B34"/>
  <c r="D14"/>
  <c r="D33" i="14"/>
  <c r="B34"/>
  <c r="D14" i="13"/>
  <c r="B25"/>
  <c r="B26" s="1"/>
  <c r="B34" s="1"/>
  <c r="D14" i="12"/>
  <c r="B25"/>
  <c r="B26" s="1"/>
  <c r="B34" s="1"/>
  <c r="D33" i="11"/>
  <c r="D14"/>
  <c r="B34"/>
  <c r="B34" i="10"/>
  <c r="D33" i="9"/>
  <c r="D14"/>
  <c r="B25"/>
  <c r="B26" s="1"/>
  <c r="B34" s="1"/>
  <c r="D33" i="3"/>
  <c r="D34" s="1"/>
  <c r="B34" i="8"/>
  <c r="D14"/>
  <c r="B17" i="2"/>
  <c r="D22" i="5" l="1"/>
  <c r="D24" s="1"/>
  <c r="D25" s="1"/>
  <c r="D34" s="1"/>
  <c r="D35" s="1"/>
  <c r="D37" s="1"/>
  <c r="C14" i="1" s="1"/>
  <c r="E14" s="1"/>
  <c r="D22" i="4"/>
  <c r="D24" s="1"/>
  <c r="D25" s="1"/>
  <c r="D34" s="1"/>
  <c r="D35" s="1"/>
  <c r="D37" s="1"/>
  <c r="C12" i="1" s="1"/>
  <c r="E12" s="1"/>
  <c r="D34" i="13"/>
  <c r="D35" s="1"/>
  <c r="D37" s="1"/>
  <c r="C30" i="1" s="1"/>
  <c r="E30" s="1"/>
  <c r="D34" i="9"/>
  <c r="D35" s="1"/>
  <c r="D37" s="1"/>
  <c r="C22" i="1" s="1"/>
  <c r="E22" s="1"/>
  <c r="D34" i="7"/>
  <c r="D35" s="1"/>
  <c r="D37" s="1"/>
  <c r="C18" i="1" s="1"/>
  <c r="E18" s="1"/>
  <c r="D34" i="6"/>
  <c r="D35" s="1"/>
  <c r="D37" s="1"/>
  <c r="C16" i="1" s="1"/>
  <c r="E16" s="1"/>
  <c r="D34" i="15"/>
  <c r="D35" s="1"/>
  <c r="D37" s="1"/>
  <c r="C34" i="1" s="1"/>
  <c r="E34" s="1"/>
  <c r="D34" i="8"/>
  <c r="D35" s="1"/>
  <c r="D37" s="1"/>
  <c r="C20" i="1" s="1"/>
  <c r="E20" s="1"/>
  <c r="D34" i="12"/>
  <c r="D35" s="1"/>
  <c r="D37" s="1"/>
  <c r="C28" i="1" s="1"/>
  <c r="E28" s="1"/>
  <c r="D34" i="10"/>
  <c r="D35" s="1"/>
  <c r="D37" s="1"/>
  <c r="C24" i="1" s="1"/>
  <c r="E24" s="1"/>
  <c r="D34" i="14"/>
  <c r="D35" s="1"/>
  <c r="D37" s="1"/>
  <c r="C32" i="1" s="1"/>
  <c r="E32" s="1"/>
  <c r="D34" i="11"/>
  <c r="D35" s="1"/>
  <c r="D37" s="1"/>
  <c r="C26" i="1" s="1"/>
  <c r="E26" s="1"/>
  <c r="D35" i="3"/>
  <c r="D37" s="1"/>
  <c r="C10" i="1" s="1"/>
  <c r="E10" s="1"/>
  <c r="D32" i="2"/>
  <c r="D33" s="1"/>
  <c r="H34" i="1" l="1"/>
  <c r="F34"/>
  <c r="H32"/>
  <c r="F32"/>
  <c r="H30"/>
  <c r="F30"/>
  <c r="H28"/>
  <c r="F28"/>
  <c r="H26"/>
  <c r="F26"/>
  <c r="H24"/>
  <c r="F24"/>
  <c r="H22"/>
  <c r="F22"/>
  <c r="H20"/>
  <c r="F20"/>
  <c r="H18"/>
  <c r="F18"/>
  <c r="H16"/>
  <c r="F16"/>
  <c r="H14"/>
  <c r="F14"/>
  <c r="H12"/>
  <c r="F12"/>
  <c r="H10"/>
  <c r="F10"/>
  <c r="D20" i="2"/>
  <c r="D21"/>
  <c r="B21" l="1"/>
  <c r="B23" s="1"/>
  <c r="B25" s="1"/>
  <c r="B26" s="1"/>
  <c r="D18"/>
  <c r="D19" s="1"/>
  <c r="D17"/>
  <c r="D11"/>
  <c r="D12" s="1"/>
  <c r="D14" s="1"/>
  <c r="B11"/>
  <c r="B34" l="1"/>
  <c r="D22"/>
  <c r="D24" l="1"/>
  <c r="D25" s="1"/>
  <c r="D34" s="1"/>
  <c r="D35" s="1"/>
  <c r="D37" s="1"/>
  <c r="C8" i="1" s="1"/>
  <c r="E8" s="1"/>
  <c r="E38" s="1"/>
  <c r="H8" l="1"/>
  <c r="H38" s="1"/>
  <c r="F8"/>
  <c r="F38" s="1"/>
  <c r="F40" s="1"/>
</calcChain>
</file>

<file path=xl/comments1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11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13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14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8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sharedStrings.xml><?xml version="1.0" encoding="utf-8"?>
<sst xmlns="http://schemas.openxmlformats.org/spreadsheetml/2006/main" count="875" uniqueCount="133">
  <si>
    <t>Calculo de Custos do KM Rodado - Transporte Escolar</t>
  </si>
  <si>
    <t>Custos Variaveis</t>
  </si>
  <si>
    <t>Custos Fixos</t>
  </si>
  <si>
    <t>OLEO DIESEL</t>
  </si>
  <si>
    <t>CUSTOS DE CAPITAL E DEPRECIAÇÃO</t>
  </si>
  <si>
    <t>Preço Do Litro Óleo Diesel</t>
  </si>
  <si>
    <t>Valor Médio de venda Onibus</t>
  </si>
  <si>
    <t>Média Consumida KM/Litro</t>
  </si>
  <si>
    <t>Valor da Depreciação anual %</t>
  </si>
  <si>
    <t>Custo Óleo Diesel por KM</t>
  </si>
  <si>
    <t>Valor a Depreciar no mês</t>
  </si>
  <si>
    <t>OLEO LUBRIFICANTE</t>
  </si>
  <si>
    <t>Preço do Litro Lubrificante</t>
  </si>
  <si>
    <t>Custo da Depreciação por KM</t>
  </si>
  <si>
    <t>MOTORISTA</t>
  </si>
  <si>
    <t xml:space="preserve">Km Rodados com 1 Troca </t>
  </si>
  <si>
    <t xml:space="preserve">Motorista </t>
  </si>
  <si>
    <t>Custo do Lubrificante por KM</t>
  </si>
  <si>
    <t>13º</t>
  </si>
  <si>
    <t>PNEUS DE RODAGEM</t>
  </si>
  <si>
    <t>Férias</t>
  </si>
  <si>
    <t>Preço do Pneu utilizado</t>
  </si>
  <si>
    <t>1/3 de Férias</t>
  </si>
  <si>
    <t>Qtd. Pneus Rodando</t>
  </si>
  <si>
    <t>FGTS</t>
  </si>
  <si>
    <t>Total na Troca - 6 Pneus</t>
  </si>
  <si>
    <t>INSS</t>
  </si>
  <si>
    <t>Vida util do Pneus por KM</t>
  </si>
  <si>
    <t>Custo Funcionário Mês</t>
  </si>
  <si>
    <t>Custo dos Pneus de rodagem Por KM</t>
  </si>
  <si>
    <t>MANUTENÇÃO DO VEÍCULO</t>
  </si>
  <si>
    <t>Custo de Manutenção por mês</t>
  </si>
  <si>
    <t>Custo do Motorista por KM</t>
  </si>
  <si>
    <t>Custo da Manutenção por KM</t>
  </si>
  <si>
    <t>IPVA E CONTADOR</t>
  </si>
  <si>
    <t xml:space="preserve">Seguro Resp. Civil e Casco </t>
  </si>
  <si>
    <t>DPVAT</t>
  </si>
  <si>
    <t>Honorarios com Contador</t>
  </si>
  <si>
    <t>Totais dos custos</t>
  </si>
  <si>
    <t>Custo por Km</t>
  </si>
  <si>
    <t>Total dos Custos variaveis</t>
  </si>
  <si>
    <t>Total dos Custos Fixos</t>
  </si>
  <si>
    <t>Total dos Custos Variaveis + Custos Fixos</t>
  </si>
  <si>
    <t>Margem de Lucro em Percentual</t>
  </si>
  <si>
    <t>Total a Pagar por Kilometro Rodado</t>
  </si>
  <si>
    <t>Valor da Depreciação anual R$</t>
  </si>
  <si>
    <t>kilometragem diária</t>
  </si>
  <si>
    <t>Km média Percorrida no mês</t>
  </si>
  <si>
    <t>Quantidade de litros na troca</t>
  </si>
  <si>
    <t>ANUAL</t>
  </si>
  <si>
    <t>Van Escolar com no mínimo 15 Lugares</t>
  </si>
  <si>
    <t>Trajeto 01</t>
  </si>
  <si>
    <t>Laudos Detran/Inmetro/Daer</t>
  </si>
  <si>
    <t>Trajeto 02</t>
  </si>
  <si>
    <t>Trajeto 03</t>
  </si>
  <si>
    <t>Trajeto 04</t>
  </si>
  <si>
    <t>Trajeto 05</t>
  </si>
  <si>
    <t>Trajeto 06</t>
  </si>
  <si>
    <t>Trajeto 07</t>
  </si>
  <si>
    <t>Trajeto 08</t>
  </si>
  <si>
    <t>Trajeto 09</t>
  </si>
  <si>
    <t>Trajeto 10</t>
  </si>
  <si>
    <t>Trajeto 11</t>
  </si>
  <si>
    <t>Trajeto 12</t>
  </si>
  <si>
    <t>Trajeto 13</t>
  </si>
  <si>
    <t>]</t>
  </si>
  <si>
    <t>Trajeto 14</t>
  </si>
  <si>
    <t>Média de Dias Letivos 200 dias letivos/ano- media 20 dias mês</t>
  </si>
  <si>
    <t>PLANILHA DE TRANSPORTE ESCOLAR</t>
  </si>
  <si>
    <t>MARCELINO RAMOS 2025/2026</t>
  </si>
  <si>
    <t>DADOS DA NOVA LICITAÇÃO</t>
  </si>
  <si>
    <t>ROTA</t>
  </si>
  <si>
    <t>LOCAL</t>
  </si>
  <si>
    <t>VALOR MENSAL</t>
  </si>
  <si>
    <t>VALOR ANUAL</t>
  </si>
  <si>
    <t>KM DIÁRIA</t>
  </si>
  <si>
    <t>DADOS DA ÚLTIMA LICITAÇÃO</t>
  </si>
  <si>
    <t xml:space="preserve"> </t>
  </si>
  <si>
    <t>DIAS NO MÊS</t>
  </si>
  <si>
    <t>DIAS TOTAIS NO ANO</t>
  </si>
  <si>
    <t>VALOR KM</t>
  </si>
  <si>
    <t>Lª SCHUCK</t>
  </si>
  <si>
    <t>AGUA VERDE</t>
  </si>
  <si>
    <t>VOLTA GRANDE</t>
  </si>
  <si>
    <t>STA BARBARA</t>
  </si>
  <si>
    <t>ERS 126</t>
  </si>
  <si>
    <t>BR 153</t>
  </si>
  <si>
    <t>SÃO PEDRO</t>
  </si>
  <si>
    <t>ESTREITO</t>
  </si>
  <si>
    <t>SUZANA</t>
  </si>
  <si>
    <t>TIRADENTES</t>
  </si>
  <si>
    <t>SUZ/SÃO PEDRO</t>
  </si>
  <si>
    <t>SUZ CORONEL</t>
  </si>
  <si>
    <t>CEL SÃO PEDRO</t>
  </si>
  <si>
    <t>AGUA VERDE CEL</t>
  </si>
  <si>
    <t>TOTAIS</t>
  </si>
  <si>
    <t>MORRO TOBA</t>
  </si>
  <si>
    <t>VALOR DIÁRIO</t>
  </si>
  <si>
    <t>ROTA 10</t>
  </si>
  <si>
    <t>Lº PEGORINI</t>
  </si>
  <si>
    <t>ROTA11</t>
  </si>
  <si>
    <t xml:space="preserve">ADEMAR </t>
  </si>
  <si>
    <t>ROTA 6</t>
  </si>
  <si>
    <t>Lº SHCUCK</t>
  </si>
  <si>
    <t>ROTA 09</t>
  </si>
  <si>
    <t>ROTA 12</t>
  </si>
  <si>
    <t>ROTA 08</t>
  </si>
  <si>
    <t>TREVO 153</t>
  </si>
  <si>
    <t>ROTA 14</t>
  </si>
  <si>
    <t>ROTA 13</t>
  </si>
  <si>
    <t>STA LURDES</t>
  </si>
  <si>
    <t>ROTA 04</t>
  </si>
  <si>
    <t>PITOCA</t>
  </si>
  <si>
    <t>ROTA 05</t>
  </si>
  <si>
    <t>SÃO SEBASTIÃO</t>
  </si>
  <si>
    <t>ROTA 03</t>
  </si>
  <si>
    <t>ROTA 07</t>
  </si>
  <si>
    <t>POSTO FISCAL</t>
  </si>
  <si>
    <t>ROTA 01</t>
  </si>
  <si>
    <t>PALINSKI</t>
  </si>
  <si>
    <t>ROTA 2</t>
  </si>
  <si>
    <t>Preço diesel atual</t>
  </si>
  <si>
    <t>senha</t>
  </si>
  <si>
    <t>Precço médio KM</t>
  </si>
  <si>
    <t>Horas trabalhadas</t>
  </si>
  <si>
    <t>Valor proporcional de horas</t>
  </si>
  <si>
    <t>Motorista 8 horas</t>
  </si>
  <si>
    <t>Calculo proporcional de horas</t>
  </si>
  <si>
    <t>Calculo proporcional motorista</t>
  </si>
  <si>
    <t>Salário motorista</t>
  </si>
  <si>
    <t>IPVA - isento transporte escolar</t>
  </si>
  <si>
    <t>IPVA</t>
  </si>
  <si>
    <t>KM ANUAL</t>
  </si>
</sst>
</file>

<file path=xl/styles.xml><?xml version="1.0" encoding="utf-8"?>
<styleSheet xmlns="http://schemas.openxmlformats.org/spreadsheetml/2006/main">
  <numFmts count="4">
    <numFmt numFmtId="164" formatCode="* #,##0.00\ ;\-* #,##0.00\ ;* \-#\ ;@\ "/>
    <numFmt numFmtId="165" formatCode="* #,##0.0000\ ;\-* #,##0.0000\ ;* \-#\ ;@\ "/>
    <numFmt numFmtId="166" formatCode="&quot;R$&quot;\ #,##0.00"/>
    <numFmt numFmtId="167" formatCode="[$-416]d\-mmm\-yy;@"/>
  </numFmts>
  <fonts count="26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0"/>
      <color rgb="FF00B050"/>
      <name val="Calibri"/>
      <family val="2"/>
      <charset val="1"/>
    </font>
    <font>
      <b/>
      <i/>
      <u/>
      <sz val="10"/>
      <color rgb="FFFF0000"/>
      <name val="Calibri"/>
      <family val="2"/>
      <charset val="1"/>
    </font>
    <font>
      <b/>
      <i/>
      <sz val="10"/>
      <color rgb="FFFF0000"/>
      <name val="Calibri"/>
      <family val="2"/>
      <charset val="1"/>
    </font>
    <font>
      <b/>
      <i/>
      <u/>
      <sz val="10"/>
      <color rgb="FF00B050"/>
      <name val="Calibri"/>
      <family val="2"/>
      <charset val="1"/>
    </font>
    <font>
      <sz val="10"/>
      <name val="Calibri"/>
      <family val="2"/>
      <charset val="1"/>
    </font>
    <font>
      <b/>
      <sz val="10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164" fontId="20" fillId="0" borderId="0" applyBorder="0" applyProtection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20" fillId="0" borderId="0" applyBorder="0" applyProtection="0"/>
    <xf numFmtId="0" fontId="20" fillId="0" borderId="0" applyBorder="0" applyProtection="0"/>
    <xf numFmtId="0" fontId="3" fillId="0" borderId="0" applyBorder="0" applyProtection="0"/>
  </cellStyleXfs>
  <cellXfs count="61">
    <xf numFmtId="0" fontId="0" fillId="0" borderId="0" xfId="0"/>
    <xf numFmtId="0" fontId="12" fillId="0" borderId="0" xfId="0" applyFont="1"/>
    <xf numFmtId="0" fontId="15" fillId="0" borderId="4" xfId="0" applyFont="1" applyBorder="1"/>
    <xf numFmtId="0" fontId="12" fillId="0" borderId="5" xfId="0" applyFont="1" applyBorder="1"/>
    <xf numFmtId="0" fontId="15" fillId="0" borderId="0" xfId="0" applyFont="1" applyBorder="1"/>
    <xf numFmtId="0" fontId="16" fillId="0" borderId="4" xfId="0" applyFont="1" applyBorder="1"/>
    <xf numFmtId="0" fontId="16" fillId="0" borderId="0" xfId="0" applyFont="1" applyBorder="1"/>
    <xf numFmtId="0" fontId="12" fillId="0" borderId="4" xfId="0" applyFont="1" applyBorder="1"/>
    <xf numFmtId="164" fontId="12" fillId="0" borderId="5" xfId="1" applyFont="1" applyBorder="1" applyAlignment="1" applyProtection="1"/>
    <xf numFmtId="0" fontId="12" fillId="0" borderId="0" xfId="0" applyFont="1" applyBorder="1"/>
    <xf numFmtId="0" fontId="2" fillId="0" borderId="4" xfId="0" applyFont="1" applyBorder="1"/>
    <xf numFmtId="165" fontId="17" fillId="0" borderId="5" xfId="1" applyNumberFormat="1" applyFont="1" applyBorder="1" applyAlignment="1" applyProtection="1"/>
    <xf numFmtId="164" fontId="18" fillId="0" borderId="6" xfId="1" applyFont="1" applyBorder="1" applyAlignment="1" applyProtection="1"/>
    <xf numFmtId="0" fontId="2" fillId="0" borderId="0" xfId="0" applyFont="1" applyBorder="1"/>
    <xf numFmtId="0" fontId="12" fillId="0" borderId="0" xfId="0" applyFont="1" applyAlignment="1">
      <alignment horizontal="center"/>
    </xf>
    <xf numFmtId="0" fontId="19" fillId="0" borderId="0" xfId="0" applyFont="1" applyBorder="1"/>
    <xf numFmtId="164" fontId="17" fillId="0" borderId="5" xfId="1" applyFont="1" applyBorder="1" applyAlignment="1" applyProtection="1"/>
    <xf numFmtId="164" fontId="12" fillId="0" borderId="6" xfId="1" applyFont="1" applyBorder="1" applyAlignment="1" applyProtection="1"/>
    <xf numFmtId="164" fontId="12" fillId="0" borderId="7" xfId="1" applyFont="1" applyBorder="1" applyAlignment="1" applyProtection="1"/>
    <xf numFmtId="0" fontId="19" fillId="0" borderId="4" xfId="0" applyFont="1" applyBorder="1"/>
    <xf numFmtId="165" fontId="17" fillId="0" borderId="5" xfId="0" applyNumberFormat="1" applyFont="1" applyBorder="1"/>
    <xf numFmtId="0" fontId="2" fillId="0" borderId="3" xfId="0" applyFont="1" applyBorder="1"/>
    <xf numFmtId="165" fontId="19" fillId="0" borderId="3" xfId="0" applyNumberFormat="1" applyFont="1" applyBorder="1"/>
    <xf numFmtId="0" fontId="2" fillId="9" borderId="8" xfId="0" applyFont="1" applyFill="1" applyBorder="1" applyAlignment="1"/>
    <xf numFmtId="0" fontId="2" fillId="9" borderId="9" xfId="0" applyFont="1" applyFill="1" applyBorder="1" applyAlignment="1"/>
    <xf numFmtId="0" fontId="2" fillId="9" borderId="10" xfId="0" applyFont="1" applyFill="1" applyBorder="1" applyAlignment="1"/>
    <xf numFmtId="165" fontId="17" fillId="9" borderId="3" xfId="0" applyNumberFormat="1" applyFont="1" applyFill="1" applyBorder="1"/>
    <xf numFmtId="164" fontId="15" fillId="9" borderId="3" xfId="0" applyNumberFormat="1" applyFont="1" applyFill="1" applyBorder="1"/>
    <xf numFmtId="164" fontId="12" fillId="10" borderId="5" xfId="1" applyFont="1" applyFill="1" applyBorder="1" applyAlignment="1" applyProtection="1">
      <protection locked="0"/>
    </xf>
    <xf numFmtId="164" fontId="2" fillId="0" borderId="5" xfId="1" applyFont="1" applyBorder="1" applyAlignment="1" applyProtection="1">
      <protection locked="0"/>
    </xf>
    <xf numFmtId="0" fontId="12" fillId="10" borderId="5" xfId="1" applyNumberFormat="1" applyFont="1" applyFill="1" applyBorder="1" applyAlignment="1" applyProtection="1">
      <protection locked="0"/>
    </xf>
    <xf numFmtId="164" fontId="12" fillId="10" borderId="6" xfId="1" applyFont="1" applyFill="1" applyBorder="1" applyAlignment="1" applyProtection="1">
      <protection locked="0"/>
    </xf>
    <xf numFmtId="0" fontId="0" fillId="10" borderId="0" xfId="0" applyFill="1" applyProtection="1">
      <protection locked="0"/>
    </xf>
    <xf numFmtId="166" fontId="0" fillId="10" borderId="0" xfId="0" applyNumberFormat="1" applyFill="1" applyProtection="1">
      <protection locked="0"/>
    </xf>
    <xf numFmtId="0" fontId="24" fillId="0" borderId="0" xfId="0" applyFont="1"/>
    <xf numFmtId="166" fontId="0" fillId="0" borderId="0" xfId="0" applyNumberFormat="1"/>
    <xf numFmtId="0" fontId="25" fillId="0" borderId="4" xfId="0" applyFont="1" applyBorder="1"/>
    <xf numFmtId="164" fontId="12" fillId="0" borderId="7" xfId="1" applyFont="1" applyBorder="1" applyAlignment="1" applyProtection="1">
      <protection locked="0"/>
    </xf>
    <xf numFmtId="0" fontId="23" fillId="0" borderId="0" xfId="0" applyFont="1"/>
    <xf numFmtId="10" fontId="0" fillId="0" borderId="0" xfId="0" applyNumberFormat="1"/>
    <xf numFmtId="4" fontId="23" fillId="0" borderId="17" xfId="0" applyNumberFormat="1" applyFont="1" applyBorder="1" applyAlignment="1">
      <alignment vertical="center" wrapText="1"/>
    </xf>
    <xf numFmtId="0" fontId="23" fillId="10" borderId="17" xfId="0" applyFont="1" applyFill="1" applyBorder="1" applyAlignment="1" applyProtection="1">
      <alignment vertical="center" wrapText="1"/>
      <protection locked="0"/>
    </xf>
    <xf numFmtId="166" fontId="23" fillId="10" borderId="17" xfId="0" applyNumberFormat="1" applyFont="1" applyFill="1" applyBorder="1" applyAlignment="1" applyProtection="1">
      <alignment vertical="center" wrapText="1"/>
      <protection locked="0"/>
    </xf>
    <xf numFmtId="0" fontId="23" fillId="0" borderId="17" xfId="0" applyFont="1" applyBorder="1" applyAlignment="1">
      <alignment vertical="center" wrapText="1"/>
    </xf>
    <xf numFmtId="2" fontId="23" fillId="0" borderId="17" xfId="0" applyNumberFormat="1" applyFont="1" applyBorder="1" applyAlignment="1">
      <alignment vertical="center" wrapText="1"/>
    </xf>
    <xf numFmtId="166" fontId="23" fillId="0" borderId="17" xfId="0" applyNumberFormat="1" applyFont="1" applyBorder="1" applyAlignment="1">
      <alignment vertical="center" wrapText="1"/>
    </xf>
    <xf numFmtId="1" fontId="23" fillId="0" borderId="17" xfId="0" applyNumberFormat="1" applyFont="1" applyBorder="1" applyAlignment="1">
      <alignment vertical="center" wrapText="1"/>
    </xf>
    <xf numFmtId="0" fontId="23" fillId="0" borderId="17" xfId="0" applyFont="1" applyBorder="1" applyAlignment="1">
      <alignment horizontal="center"/>
    </xf>
    <xf numFmtId="167" fontId="0" fillId="0" borderId="0" xfId="0" applyNumberFormat="1" applyAlignment="1"/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10" borderId="8" xfId="0" applyFont="1" applyFill="1" applyBorder="1" applyAlignment="1">
      <alignment horizontal="center"/>
    </xf>
    <xf numFmtId="0" fontId="13" fillId="10" borderId="9" xfId="0" applyFont="1" applyFill="1" applyBorder="1" applyAlignment="1">
      <alignment horizontal="center"/>
    </xf>
    <xf numFmtId="0" fontId="13" fillId="10" borderId="10" xfId="0" applyFont="1" applyFill="1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3" fillId="0" borderId="3" xfId="0" applyFont="1" applyBorder="1" applyAlignment="1">
      <alignment horizontal="center"/>
    </xf>
  </cellXfs>
  <cellStyles count="18">
    <cellStyle name="Accent 1 14" xfId="2"/>
    <cellStyle name="Accent 13" xfId="3"/>
    <cellStyle name="Accent 2 15" xfId="4"/>
    <cellStyle name="Accent 3 16" xfId="5"/>
    <cellStyle name="Bad 10" xfId="6"/>
    <cellStyle name="Error 12" xfId="7"/>
    <cellStyle name="Footnote 5" xfId="8"/>
    <cellStyle name="Good 8" xfId="9"/>
    <cellStyle name="Heading 1 1" xfId="10"/>
    <cellStyle name="Heading 2 2" xfId="11"/>
    <cellStyle name="Hyperlink 6" xfId="12"/>
    <cellStyle name="Neutral 9" xfId="13"/>
    <cellStyle name="Normal" xfId="0" builtinId="0"/>
    <cellStyle name="Note 4" xfId="14"/>
    <cellStyle name="Separador de milhares" xfId="1" builtinId="3"/>
    <cellStyle name="Status 7" xfId="15"/>
    <cellStyle name="Text 3" xfId="16"/>
    <cellStyle name="Warning 11" xfId="17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1"/>
  <sheetViews>
    <sheetView tabSelected="1" workbookViewId="0">
      <selection activeCell="G12" sqref="G12:G13"/>
    </sheetView>
  </sheetViews>
  <sheetFormatPr defaultRowHeight="15"/>
  <cols>
    <col min="3" max="4" width="9.5703125" customWidth="1"/>
    <col min="5" max="5" width="12.140625" customWidth="1"/>
    <col min="6" max="6" width="14.42578125" bestFit="1" customWidth="1"/>
    <col min="7" max="7" width="10.7109375" customWidth="1"/>
    <col min="8" max="8" width="14" customWidth="1"/>
    <col min="12" max="12" width="11.85546875" customWidth="1"/>
    <col min="13" max="14" width="12" customWidth="1"/>
  </cols>
  <sheetData>
    <row r="1" spans="1:14" ht="18.75">
      <c r="A1" s="34" t="s">
        <v>68</v>
      </c>
    </row>
    <row r="2" spans="1:14" ht="18.75">
      <c r="A2" s="34" t="s">
        <v>69</v>
      </c>
      <c r="G2" s="48">
        <f ca="1">NOW()</f>
        <v>45789.620456944445</v>
      </c>
      <c r="H2" s="48"/>
    </row>
    <row r="3" spans="1:14">
      <c r="A3" t="s">
        <v>121</v>
      </c>
      <c r="C3" s="33">
        <v>6.29</v>
      </c>
      <c r="F3" t="s">
        <v>129</v>
      </c>
      <c r="G3" s="33">
        <f>2320.79*1.0751</f>
        <v>2495.0813289999996</v>
      </c>
      <c r="H3" s="38" t="s">
        <v>131</v>
      </c>
      <c r="I3" s="39">
        <v>0</v>
      </c>
      <c r="J3" s="39"/>
    </row>
    <row r="4" spans="1:14">
      <c r="A4" t="s">
        <v>78</v>
      </c>
      <c r="C4" s="32">
        <v>20</v>
      </c>
      <c r="D4" t="s">
        <v>79</v>
      </c>
      <c r="H4" s="32">
        <v>200</v>
      </c>
    </row>
    <row r="5" spans="1:14">
      <c r="A5" s="47" t="s">
        <v>70</v>
      </c>
      <c r="B5" s="47"/>
      <c r="C5" s="47"/>
      <c r="D5" s="47"/>
      <c r="E5" s="47"/>
      <c r="F5" s="47"/>
      <c r="G5" s="47"/>
      <c r="H5" s="47" t="s">
        <v>76</v>
      </c>
      <c r="I5" s="47"/>
      <c r="J5" s="47"/>
      <c r="K5" s="47"/>
      <c r="L5" s="47"/>
      <c r="M5" s="47"/>
    </row>
    <row r="6" spans="1:14">
      <c r="A6" s="43" t="s">
        <v>71</v>
      </c>
      <c r="B6" s="43" t="s">
        <v>72</v>
      </c>
      <c r="C6" s="43" t="s">
        <v>80</v>
      </c>
      <c r="D6" s="43" t="s">
        <v>75</v>
      </c>
      <c r="E6" s="43" t="s">
        <v>97</v>
      </c>
      <c r="F6" s="43" t="s">
        <v>73</v>
      </c>
      <c r="G6" s="43" t="s">
        <v>132</v>
      </c>
      <c r="H6" s="43" t="s">
        <v>74</v>
      </c>
      <c r="I6" s="43" t="s">
        <v>71</v>
      </c>
      <c r="J6" s="43" t="s">
        <v>72</v>
      </c>
      <c r="K6" s="43" t="s">
        <v>97</v>
      </c>
      <c r="L6" s="43" t="s">
        <v>75</v>
      </c>
      <c r="M6" s="43" t="s">
        <v>73</v>
      </c>
      <c r="N6" s="43" t="s">
        <v>74</v>
      </c>
    </row>
    <row r="7" spans="1:14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4">
      <c r="A8" s="43" t="str">
        <f>'Item 01 M'!A3:D3</f>
        <v>Trajeto 01</v>
      </c>
      <c r="B8" s="41" t="s">
        <v>83</v>
      </c>
      <c r="C8" s="45">
        <f>'Item 01 M'!D37</f>
        <v>5.0519454081190931</v>
      </c>
      <c r="D8" s="43">
        <f>'Item 01 M'!B12</f>
        <v>103</v>
      </c>
      <c r="E8" s="45">
        <f>C8*D8</f>
        <v>520.35037703626654</v>
      </c>
      <c r="F8" s="45">
        <f>(D8*C8)*$C$4</f>
        <v>10407.007540725332</v>
      </c>
      <c r="G8" s="43">
        <f>D8*$H$4</f>
        <v>20600</v>
      </c>
      <c r="H8" s="45">
        <f>C8*D8*($H$4)</f>
        <v>104070.0754072533</v>
      </c>
      <c r="I8" s="41" t="s">
        <v>120</v>
      </c>
      <c r="J8" s="41" t="s">
        <v>96</v>
      </c>
      <c r="K8" s="42">
        <v>412.02</v>
      </c>
      <c r="L8" s="41">
        <v>108</v>
      </c>
      <c r="M8" s="40">
        <f>K8*$C$4</f>
        <v>8240.4</v>
      </c>
      <c r="N8" s="40">
        <f>K8*$H$4</f>
        <v>82404</v>
      </c>
    </row>
    <row r="9" spans="1:14">
      <c r="A9" s="43"/>
      <c r="B9" s="41"/>
      <c r="C9" s="45"/>
      <c r="D9" s="43"/>
      <c r="E9" s="45"/>
      <c r="F9" s="45"/>
      <c r="G9" s="43"/>
      <c r="H9" s="45"/>
      <c r="I9" s="41"/>
      <c r="J9" s="41"/>
      <c r="K9" s="42"/>
      <c r="L9" s="41"/>
      <c r="M9" s="40"/>
      <c r="N9" s="40"/>
    </row>
    <row r="10" spans="1:14">
      <c r="A10" s="43" t="str">
        <f>'item 02 M'!A3:D3</f>
        <v>Trajeto 02</v>
      </c>
      <c r="B10" s="41" t="s">
        <v>84</v>
      </c>
      <c r="C10" s="45">
        <f>'item 02 M'!D37</f>
        <v>5.1278857703626661</v>
      </c>
      <c r="D10" s="43">
        <f>'item 02 M'!B12</f>
        <v>100</v>
      </c>
      <c r="E10" s="45">
        <f t="shared" ref="E10" si="0">C10*D10</f>
        <v>512.78857703626659</v>
      </c>
      <c r="F10" s="45">
        <f t="shared" ref="F10" si="1">D10*C10*$C$4</f>
        <v>10255.771540725331</v>
      </c>
      <c r="G10" s="43">
        <f t="shared" ref="G10" si="2">D10*$H$4</f>
        <v>20000</v>
      </c>
      <c r="H10" s="45">
        <f t="shared" ref="H10" si="3">C10*D10*($H$4)</f>
        <v>102557.71540725332</v>
      </c>
      <c r="I10" s="41" t="s">
        <v>98</v>
      </c>
      <c r="J10" s="41" t="s">
        <v>99</v>
      </c>
      <c r="K10" s="42">
        <v>304.79000000000002</v>
      </c>
      <c r="L10" s="41">
        <v>61</v>
      </c>
      <c r="M10" s="40">
        <f t="shared" ref="M10" si="4">K10*$C$4</f>
        <v>6095.8</v>
      </c>
      <c r="N10" s="40">
        <f t="shared" ref="N10" si="5">K10*$H$4</f>
        <v>60958.000000000007</v>
      </c>
    </row>
    <row r="11" spans="1:14">
      <c r="A11" s="43"/>
      <c r="B11" s="41"/>
      <c r="C11" s="45"/>
      <c r="D11" s="43"/>
      <c r="E11" s="45"/>
      <c r="F11" s="45"/>
      <c r="G11" s="43"/>
      <c r="H11" s="45"/>
      <c r="I11" s="41"/>
      <c r="J11" s="41"/>
      <c r="K11" s="42"/>
      <c r="L11" s="41"/>
      <c r="M11" s="40"/>
      <c r="N11" s="40"/>
    </row>
    <row r="12" spans="1:14">
      <c r="A12" s="43" t="str">
        <f>'Item 3 '!A3:D3</f>
        <v>Trajeto 03</v>
      </c>
      <c r="B12" s="41" t="s">
        <v>85</v>
      </c>
      <c r="C12" s="45">
        <f>'Item 3 '!D37</f>
        <v>7.5346110968512816</v>
      </c>
      <c r="D12" s="43">
        <f>'Item 3 '!B12</f>
        <v>52</v>
      </c>
      <c r="E12" s="45">
        <f t="shared" ref="E12" si="6">C12*D12</f>
        <v>391.79977703626662</v>
      </c>
      <c r="F12" s="45">
        <f t="shared" ref="F12" si="7">D12*C12*$C$4</f>
        <v>7835.9955407253328</v>
      </c>
      <c r="G12" s="43">
        <f t="shared" ref="G12" si="8">D12*$H$4</f>
        <v>10400</v>
      </c>
      <c r="H12" s="45">
        <f t="shared" ref="H12" si="9">C12*D12*($H$4)</f>
        <v>78359.955407253321</v>
      </c>
      <c r="I12" s="41" t="s">
        <v>100</v>
      </c>
      <c r="J12" s="41" t="s">
        <v>101</v>
      </c>
      <c r="K12" s="42">
        <v>391.43</v>
      </c>
      <c r="L12" s="41">
        <v>60</v>
      </c>
      <c r="M12" s="40">
        <f t="shared" ref="M12" si="10">K12*$C$4</f>
        <v>7828.6</v>
      </c>
      <c r="N12" s="40">
        <f t="shared" ref="N12" si="11">K12*$H$4</f>
        <v>78286</v>
      </c>
    </row>
    <row r="13" spans="1:14">
      <c r="A13" s="43"/>
      <c r="B13" s="41"/>
      <c r="C13" s="45"/>
      <c r="D13" s="43"/>
      <c r="E13" s="45"/>
      <c r="F13" s="45"/>
      <c r="G13" s="43"/>
      <c r="H13" s="45"/>
      <c r="I13" s="41"/>
      <c r="J13" s="41"/>
      <c r="K13" s="42"/>
      <c r="L13" s="41"/>
      <c r="M13" s="40"/>
      <c r="N13" s="40"/>
    </row>
    <row r="14" spans="1:14">
      <c r="A14" s="43" t="str">
        <f>'Item 4 R'!A3:D3</f>
        <v>Trajeto 04</v>
      </c>
      <c r="B14" s="41" t="s">
        <v>81</v>
      </c>
      <c r="C14" s="45">
        <f>'Item 4 R'!D37</f>
        <v>5.4175841892918504</v>
      </c>
      <c r="D14" s="43">
        <f>'Item 4 R'!B12</f>
        <v>90</v>
      </c>
      <c r="E14" s="45">
        <f t="shared" ref="E14" si="12">C14*D14</f>
        <v>487.58257703626651</v>
      </c>
      <c r="F14" s="45">
        <f t="shared" ref="F14" si="13">D14*C14*$C$4</f>
        <v>9751.6515407253301</v>
      </c>
      <c r="G14" s="43">
        <f t="shared" ref="G14" si="14">D14*$H$4</f>
        <v>18000</v>
      </c>
      <c r="H14" s="45">
        <f t="shared" ref="H14" si="15">C14*D14*($H$4)</f>
        <v>97516.515407253304</v>
      </c>
      <c r="I14" s="41" t="s">
        <v>102</v>
      </c>
      <c r="J14" s="41" t="s">
        <v>103</v>
      </c>
      <c r="K14" s="42">
        <v>417.45</v>
      </c>
      <c r="L14" s="41">
        <v>105</v>
      </c>
      <c r="M14" s="40">
        <f t="shared" ref="M14" si="16">K14*$C$4</f>
        <v>8349</v>
      </c>
      <c r="N14" s="40">
        <f t="shared" ref="N14" si="17">K14*$H$4</f>
        <v>83490</v>
      </c>
    </row>
    <row r="15" spans="1:14">
      <c r="A15" s="43"/>
      <c r="B15" s="41"/>
      <c r="C15" s="45"/>
      <c r="D15" s="43"/>
      <c r="E15" s="45"/>
      <c r="F15" s="45"/>
      <c r="G15" s="43"/>
      <c r="H15" s="45"/>
      <c r="I15" s="41"/>
      <c r="J15" s="41"/>
      <c r="K15" s="42"/>
      <c r="L15" s="41"/>
      <c r="M15" s="40"/>
      <c r="N15" s="40"/>
    </row>
    <row r="16" spans="1:14">
      <c r="A16" s="43" t="str">
        <f>'Item 5  R '!A3:D3</f>
        <v>Trajeto 05</v>
      </c>
      <c r="B16" s="41" t="s">
        <v>82</v>
      </c>
      <c r="C16" s="45">
        <f>'Item 5  R '!D37</f>
        <v>4.2027089995307554</v>
      </c>
      <c r="D16" s="44">
        <f>'Item 5  R '!B12</f>
        <v>155.001</v>
      </c>
      <c r="E16" s="45">
        <f t="shared" ref="E16" si="18">C16*D16</f>
        <v>651.42409763626665</v>
      </c>
      <c r="F16" s="45">
        <f t="shared" ref="F16" si="19">D16*C16*$C$4</f>
        <v>13028.481952725333</v>
      </c>
      <c r="G16" s="46">
        <f t="shared" ref="G16" si="20">D16*$H$4</f>
        <v>31000.2</v>
      </c>
      <c r="H16" s="45">
        <f t="shared" ref="H16" si="21">C16*D16*($H$4)</f>
        <v>130284.81952725333</v>
      </c>
      <c r="I16" s="41" t="s">
        <v>104</v>
      </c>
      <c r="J16" s="41" t="s">
        <v>82</v>
      </c>
      <c r="K16" s="42">
        <v>391.39</v>
      </c>
      <c r="L16" s="41">
        <v>90</v>
      </c>
      <c r="M16" s="40">
        <f t="shared" ref="M16" si="22">K16*$C$4</f>
        <v>7827.7999999999993</v>
      </c>
      <c r="N16" s="40">
        <f t="shared" ref="N16" si="23">K16*$H$4</f>
        <v>78278</v>
      </c>
    </row>
    <row r="17" spans="1:14">
      <c r="A17" s="43"/>
      <c r="B17" s="41"/>
      <c r="C17" s="45"/>
      <c r="D17" s="44"/>
      <c r="E17" s="45"/>
      <c r="F17" s="45"/>
      <c r="G17" s="46"/>
      <c r="H17" s="45"/>
      <c r="I17" s="41"/>
      <c r="J17" s="41"/>
      <c r="K17" s="42"/>
      <c r="L17" s="41"/>
      <c r="M17" s="40"/>
      <c r="N17" s="40"/>
    </row>
    <row r="18" spans="1:14">
      <c r="A18" s="43" t="str">
        <f>'Item 6 R '!A3:D3</f>
        <v>Trajeto 06</v>
      </c>
      <c r="B18" s="41" t="s">
        <v>86</v>
      </c>
      <c r="C18" s="45">
        <f>'Item 6 R '!D37</f>
        <v>5.7241065572303027</v>
      </c>
      <c r="D18" s="43">
        <f>'Item 6 R '!B12</f>
        <v>55</v>
      </c>
      <c r="E18" s="45">
        <f t="shared" ref="E18" si="24">C18*D18</f>
        <v>314.82586064766667</v>
      </c>
      <c r="F18" s="45">
        <f t="shared" ref="F18" si="25">D18*C18*$C$4</f>
        <v>6296.517212953333</v>
      </c>
      <c r="G18" s="43">
        <f t="shared" ref="G18" si="26">D18*$H$4</f>
        <v>11000</v>
      </c>
      <c r="H18" s="45">
        <f t="shared" ref="H18" si="27">C18*D18*($H$4)</f>
        <v>62965.172129533334</v>
      </c>
      <c r="I18" s="41" t="s">
        <v>105</v>
      </c>
      <c r="J18" s="41" t="s">
        <v>86</v>
      </c>
      <c r="K18" s="42">
        <v>412.73</v>
      </c>
      <c r="L18" s="41">
        <v>68</v>
      </c>
      <c r="M18" s="40">
        <f t="shared" ref="M18" si="28">K18*$C$4</f>
        <v>8254.6</v>
      </c>
      <c r="N18" s="40">
        <f t="shared" ref="N18" si="29">K18*$H$4</f>
        <v>82546</v>
      </c>
    </row>
    <row r="19" spans="1:14">
      <c r="A19" s="43"/>
      <c r="B19" s="41"/>
      <c r="C19" s="45"/>
      <c r="D19" s="43"/>
      <c r="E19" s="45"/>
      <c r="F19" s="45"/>
      <c r="G19" s="43"/>
      <c r="H19" s="45"/>
      <c r="I19" s="41"/>
      <c r="J19" s="41"/>
      <c r="K19" s="42"/>
      <c r="L19" s="41"/>
      <c r="M19" s="40"/>
      <c r="N19" s="40"/>
    </row>
    <row r="20" spans="1:14">
      <c r="A20" s="43" t="str">
        <f>'Item 7 Z'!A3:D3</f>
        <v>Trajeto 07</v>
      </c>
      <c r="B20" s="41" t="s">
        <v>87</v>
      </c>
      <c r="C20" s="45">
        <f>'Item 7 Z'!D37</f>
        <v>7.9671179710491655</v>
      </c>
      <c r="D20" s="43">
        <f>'Item 7 Z'!B12</f>
        <v>40</v>
      </c>
      <c r="E20" s="45">
        <f t="shared" ref="E20" si="30">C20*D20</f>
        <v>318.68471884196663</v>
      </c>
      <c r="F20" s="45">
        <f t="shared" ref="F20" si="31">D20*C20*$C$4</f>
        <v>6373.6943768393321</v>
      </c>
      <c r="G20" s="43">
        <f t="shared" ref="G20" si="32">D20*$H$4</f>
        <v>8000</v>
      </c>
      <c r="H20" s="45">
        <f t="shared" ref="H20" si="33">C20*D20*($H$4)</f>
        <v>63736.943768393328</v>
      </c>
      <c r="I20" s="41" t="s">
        <v>106</v>
      </c>
      <c r="J20" s="41" t="s">
        <v>107</v>
      </c>
      <c r="K20" s="42">
        <v>388.86</v>
      </c>
      <c r="L20" s="41">
        <v>88</v>
      </c>
      <c r="M20" s="40">
        <f t="shared" ref="M20" si="34">K20*$C$4</f>
        <v>7777.2000000000007</v>
      </c>
      <c r="N20" s="40">
        <f t="shared" ref="N20" si="35">K20*$H$4</f>
        <v>77772</v>
      </c>
    </row>
    <row r="21" spans="1:14">
      <c r="A21" s="43"/>
      <c r="B21" s="41"/>
      <c r="C21" s="45"/>
      <c r="D21" s="43"/>
      <c r="E21" s="45"/>
      <c r="F21" s="45"/>
      <c r="G21" s="43"/>
      <c r="H21" s="45"/>
      <c r="I21" s="41"/>
      <c r="J21" s="41"/>
      <c r="K21" s="42"/>
      <c r="L21" s="41"/>
      <c r="M21" s="40"/>
      <c r="N21" s="40"/>
    </row>
    <row r="22" spans="1:14">
      <c r="A22" s="43" t="str">
        <f>'Item 8 Z'!A3:D3</f>
        <v>Trajeto 08</v>
      </c>
      <c r="B22" s="41" t="s">
        <v>88</v>
      </c>
      <c r="C22" s="45">
        <f>'Item 8 Z'!D37</f>
        <v>4.4430339039723448</v>
      </c>
      <c r="D22" s="43">
        <f>'Item 8 Z'!B12</f>
        <v>135</v>
      </c>
      <c r="E22" s="45">
        <f t="shared" ref="E22" si="36">C22*D22</f>
        <v>599.80957703626655</v>
      </c>
      <c r="F22" s="45">
        <f t="shared" ref="F22" si="37">D22*C22*$C$4</f>
        <v>11996.191540725331</v>
      </c>
      <c r="G22" s="43">
        <f t="shared" ref="G22" si="38">D22*$H$4</f>
        <v>27000</v>
      </c>
      <c r="H22" s="45">
        <f t="shared" ref="H22" si="39">C22*D22*($H$4)</f>
        <v>119961.91540725331</v>
      </c>
      <c r="I22" s="41" t="s">
        <v>108</v>
      </c>
      <c r="J22" s="41" t="s">
        <v>88</v>
      </c>
      <c r="K22" s="42">
        <v>358.92</v>
      </c>
      <c r="L22" s="41">
        <v>76</v>
      </c>
      <c r="M22" s="40">
        <f t="shared" ref="M22" si="40">K22*$C$4</f>
        <v>7178.4000000000005</v>
      </c>
      <c r="N22" s="40">
        <f t="shared" ref="N22" si="41">K22*$H$4</f>
        <v>71784</v>
      </c>
    </row>
    <row r="23" spans="1:14">
      <c r="A23" s="43"/>
      <c r="B23" s="41"/>
      <c r="C23" s="45"/>
      <c r="D23" s="43"/>
      <c r="E23" s="45"/>
      <c r="F23" s="45"/>
      <c r="G23" s="43"/>
      <c r="H23" s="45"/>
      <c r="I23" s="41"/>
      <c r="J23" s="41"/>
      <c r="K23" s="42"/>
      <c r="L23" s="41"/>
      <c r="M23" s="40"/>
      <c r="N23" s="40"/>
    </row>
    <row r="24" spans="1:14">
      <c r="A24" s="43" t="str">
        <f>'Item 9 Z'!A3:D3</f>
        <v>Trajeto 09</v>
      </c>
      <c r="B24" s="41" t="s">
        <v>89</v>
      </c>
      <c r="C24" s="45">
        <f>'Item 9 Z'!D37</f>
        <v>6.7700048495249998</v>
      </c>
      <c r="D24" s="43">
        <f>'Item 9 Z'!B12</f>
        <v>48</v>
      </c>
      <c r="E24" s="45">
        <f t="shared" ref="E24" si="42">C24*D24</f>
        <v>324.96023277719996</v>
      </c>
      <c r="F24" s="45">
        <f t="shared" ref="F24" si="43">D24*C24*$C$4</f>
        <v>6499.2046555439993</v>
      </c>
      <c r="G24" s="43">
        <f t="shared" ref="G24" si="44">D24*$H$4</f>
        <v>9600</v>
      </c>
      <c r="H24" s="45">
        <f t="shared" ref="H24" si="45">C24*D24*($H$4)</f>
        <v>64992.046555439993</v>
      </c>
      <c r="I24" s="41" t="s">
        <v>118</v>
      </c>
      <c r="J24" s="41" t="s">
        <v>119</v>
      </c>
      <c r="K24" s="42">
        <v>448.2</v>
      </c>
      <c r="L24" s="41">
        <v>128</v>
      </c>
      <c r="M24" s="40">
        <f t="shared" ref="M24" si="46">K24*$C$4</f>
        <v>8964</v>
      </c>
      <c r="N24" s="40">
        <f t="shared" ref="N24" si="47">K24*$H$4</f>
        <v>89640</v>
      </c>
    </row>
    <row r="25" spans="1:14">
      <c r="A25" s="43"/>
      <c r="B25" s="41"/>
      <c r="C25" s="45"/>
      <c r="D25" s="43"/>
      <c r="E25" s="45"/>
      <c r="F25" s="45"/>
      <c r="G25" s="43"/>
      <c r="H25" s="45"/>
      <c r="I25" s="41"/>
      <c r="J25" s="41"/>
      <c r="K25" s="42"/>
      <c r="L25" s="41"/>
      <c r="M25" s="40"/>
      <c r="N25" s="40"/>
    </row>
    <row r="26" spans="1:14">
      <c r="A26" s="43" t="str">
        <f>'Item 10'!A3:D3</f>
        <v>Trajeto 10</v>
      </c>
      <c r="B26" s="41" t="s">
        <v>90</v>
      </c>
      <c r="C26" s="45">
        <f>'Item 10'!D37</f>
        <v>6.1217607580958333</v>
      </c>
      <c r="D26" s="43">
        <f>'Item 10'!B12</f>
        <v>20</v>
      </c>
      <c r="E26" s="45">
        <f t="shared" ref="E26" si="48">C26*D26</f>
        <v>122.43521516191666</v>
      </c>
      <c r="F26" s="45">
        <f t="shared" ref="F26" si="49">D26*C26*$C$4</f>
        <v>2448.7043032383331</v>
      </c>
      <c r="G26" s="43">
        <f t="shared" ref="G26" si="50">D26*$H$4</f>
        <v>4000</v>
      </c>
      <c r="H26" s="45">
        <f t="shared" ref="H26" si="51">C26*D26*($H$4)</f>
        <v>24487.043032383332</v>
      </c>
      <c r="I26" s="41" t="s">
        <v>109</v>
      </c>
      <c r="J26" s="41" t="s">
        <v>110</v>
      </c>
      <c r="K26" s="42">
        <v>385.45</v>
      </c>
      <c r="L26" s="41">
        <v>58</v>
      </c>
      <c r="M26" s="40">
        <f t="shared" ref="M26" si="52">K26*$C$4</f>
        <v>7709</v>
      </c>
      <c r="N26" s="40">
        <f t="shared" ref="N26" si="53">K26*$H$4</f>
        <v>77090</v>
      </c>
    </row>
    <row r="27" spans="1:14">
      <c r="A27" s="43"/>
      <c r="B27" s="41"/>
      <c r="C27" s="45"/>
      <c r="D27" s="43"/>
      <c r="E27" s="45"/>
      <c r="F27" s="45"/>
      <c r="G27" s="43"/>
      <c r="H27" s="45"/>
      <c r="I27" s="41"/>
      <c r="J27" s="41"/>
      <c r="K27" s="42"/>
      <c r="L27" s="41"/>
      <c r="M27" s="40"/>
      <c r="N27" s="40"/>
    </row>
    <row r="28" spans="1:14">
      <c r="A28" s="43" t="str">
        <f>'Item 11'!A3:D3</f>
        <v>Trajeto 11</v>
      </c>
      <c r="B28" s="41" t="s">
        <v>91</v>
      </c>
      <c r="C28" s="45">
        <f>'Item 11'!D37</f>
        <v>5.1634879848352773</v>
      </c>
      <c r="D28" s="43">
        <f>'Item 11'!B12</f>
        <v>70</v>
      </c>
      <c r="E28" s="45">
        <f t="shared" ref="E28" si="54">C28*D28</f>
        <v>361.4441589384694</v>
      </c>
      <c r="F28" s="45">
        <f t="shared" ref="F28" si="55">D28*C28*$C$4</f>
        <v>7228.883178769388</v>
      </c>
      <c r="G28" s="43">
        <f t="shared" ref="G28" si="56">D28*$H$4</f>
        <v>14000</v>
      </c>
      <c r="H28" s="45">
        <f t="shared" ref="H28" si="57">C28*D28*($H$4)</f>
        <v>72288.831787693882</v>
      </c>
      <c r="I28" s="41" t="s">
        <v>111</v>
      </c>
      <c r="J28" s="41" t="s">
        <v>112</v>
      </c>
      <c r="K28" s="42">
        <v>423.89</v>
      </c>
      <c r="L28" s="41">
        <v>114</v>
      </c>
      <c r="M28" s="40">
        <f t="shared" ref="M28" si="58">K28*$C$4</f>
        <v>8477.7999999999993</v>
      </c>
      <c r="N28" s="40">
        <f t="shared" ref="N28" si="59">K28*$H$4</f>
        <v>84778</v>
      </c>
    </row>
    <row r="29" spans="1:14">
      <c r="A29" s="43"/>
      <c r="B29" s="41"/>
      <c r="C29" s="45"/>
      <c r="D29" s="43"/>
      <c r="E29" s="45"/>
      <c r="F29" s="45"/>
      <c r="G29" s="43"/>
      <c r="H29" s="45"/>
      <c r="I29" s="41"/>
      <c r="J29" s="41"/>
      <c r="K29" s="42"/>
      <c r="L29" s="41"/>
      <c r="M29" s="40"/>
      <c r="N29" s="40"/>
    </row>
    <row r="30" spans="1:14">
      <c r="A30" s="43" t="str">
        <f>'Item 12'!A3:D3</f>
        <v>Trajeto 12</v>
      </c>
      <c r="B30" s="41" t="s">
        <v>92</v>
      </c>
      <c r="C30" s="45">
        <f>'Item 12'!D37</f>
        <v>6.2348857703626663</v>
      </c>
      <c r="D30" s="43">
        <f>'Item 12'!B12</f>
        <v>25</v>
      </c>
      <c r="E30" s="45">
        <f t="shared" ref="E30" si="60">C30*D30</f>
        <v>155.87214425906666</v>
      </c>
      <c r="F30" s="45">
        <f t="shared" ref="F30" si="61">D30*C30*$C$4</f>
        <v>3117.4428851813332</v>
      </c>
      <c r="G30" s="43">
        <f t="shared" ref="G30" si="62">D30*$H$4</f>
        <v>5000</v>
      </c>
      <c r="H30" s="45">
        <f t="shared" ref="H30" si="63">C30*D30*($H$4)</f>
        <v>31174.428851813333</v>
      </c>
      <c r="I30" s="41" t="s">
        <v>113</v>
      </c>
      <c r="J30" s="41" t="s">
        <v>114</v>
      </c>
      <c r="K30" s="42">
        <v>301.67</v>
      </c>
      <c r="L30" s="41">
        <v>52</v>
      </c>
      <c r="M30" s="40">
        <f t="shared" ref="M30" si="64">K30*$C$4</f>
        <v>6033.4000000000005</v>
      </c>
      <c r="N30" s="40">
        <f t="shared" ref="N30" si="65">K30*$H$4</f>
        <v>60334</v>
      </c>
    </row>
    <row r="31" spans="1:14">
      <c r="A31" s="43"/>
      <c r="B31" s="41"/>
      <c r="C31" s="45"/>
      <c r="D31" s="43"/>
      <c r="E31" s="45"/>
      <c r="F31" s="45"/>
      <c r="G31" s="43"/>
      <c r="H31" s="45"/>
      <c r="I31" s="41"/>
      <c r="J31" s="41"/>
      <c r="K31" s="42"/>
      <c r="L31" s="41"/>
      <c r="M31" s="40"/>
      <c r="N31" s="40"/>
    </row>
    <row r="32" spans="1:14">
      <c r="A32" s="43" t="str">
        <f>'Item 13'!A3:D3</f>
        <v>Trajeto 13</v>
      </c>
      <c r="B32" s="41" t="s">
        <v>93</v>
      </c>
      <c r="C32" s="45">
        <f>'Item 13'!D37</f>
        <v>5.8907649052610243</v>
      </c>
      <c r="D32" s="43">
        <f>'Item 13'!B12</f>
        <v>65</v>
      </c>
      <c r="E32" s="45">
        <f t="shared" ref="E32" si="66">C32*D32</f>
        <v>382.8997188419666</v>
      </c>
      <c r="F32" s="45">
        <f t="shared" ref="F32" si="67">D32*C32*$C$4</f>
        <v>7657.9943768393323</v>
      </c>
      <c r="G32" s="43">
        <f t="shared" ref="G32" si="68">D32*$H$4</f>
        <v>13000</v>
      </c>
      <c r="H32" s="45">
        <f t="shared" ref="H32" si="69">C32*D32*($H$4)</f>
        <v>76579.943768393321</v>
      </c>
      <c r="I32" s="41" t="s">
        <v>115</v>
      </c>
      <c r="J32" s="41" t="s">
        <v>90</v>
      </c>
      <c r="K32" s="42">
        <v>393.06</v>
      </c>
      <c r="L32" s="41">
        <v>96</v>
      </c>
      <c r="M32" s="40">
        <f t="shared" ref="M32" si="70">K32*$C$4</f>
        <v>7861.2</v>
      </c>
      <c r="N32" s="40">
        <f t="shared" ref="N32" si="71">K32*$H$4</f>
        <v>78612</v>
      </c>
    </row>
    <row r="33" spans="1:14">
      <c r="A33" s="43"/>
      <c r="B33" s="41"/>
      <c r="C33" s="45"/>
      <c r="D33" s="43"/>
      <c r="E33" s="45"/>
      <c r="F33" s="45"/>
      <c r="G33" s="43"/>
      <c r="H33" s="45"/>
      <c r="I33" s="41"/>
      <c r="J33" s="41"/>
      <c r="K33" s="42"/>
      <c r="L33" s="41"/>
      <c r="M33" s="40"/>
      <c r="N33" s="40"/>
    </row>
    <row r="34" spans="1:14">
      <c r="A34" s="43" t="str">
        <f>'item 14'!A3:D3</f>
        <v>Trajeto 14</v>
      </c>
      <c r="B34" s="41" t="s">
        <v>94</v>
      </c>
      <c r="C34" s="45">
        <f>'item 14'!D37</f>
        <v>6.3817564148396251</v>
      </c>
      <c r="D34" s="43">
        <f>'item 14'!B12</f>
        <v>60</v>
      </c>
      <c r="E34" s="45">
        <f t="shared" ref="E34" si="72">C34*D34</f>
        <v>382.90538489037749</v>
      </c>
      <c r="F34" s="45">
        <f t="shared" ref="F34" si="73">D34*C34*$C$4</f>
        <v>7658.1076978075498</v>
      </c>
      <c r="G34" s="43">
        <f t="shared" ref="G34" si="74">D34*$H$4</f>
        <v>12000</v>
      </c>
      <c r="H34" s="45">
        <f t="shared" ref="H34" si="75">C34*D34*($H$4)</f>
        <v>76581.076978075493</v>
      </c>
      <c r="I34" s="41" t="s">
        <v>116</v>
      </c>
      <c r="J34" s="41" t="s">
        <v>117</v>
      </c>
      <c r="K34" s="42">
        <v>537.51</v>
      </c>
      <c r="L34" s="41">
        <v>176</v>
      </c>
      <c r="M34" s="40">
        <f t="shared" ref="M34" si="76">K34*$C$4</f>
        <v>10750.2</v>
      </c>
      <c r="N34" s="40">
        <f t="shared" ref="N34" si="77">K34*$H$4</f>
        <v>107502</v>
      </c>
    </row>
    <row r="35" spans="1:14">
      <c r="A35" s="43"/>
      <c r="B35" s="41"/>
      <c r="C35" s="45"/>
      <c r="D35" s="43"/>
      <c r="E35" s="45"/>
      <c r="F35" s="45"/>
      <c r="G35" s="43"/>
      <c r="H35" s="45"/>
      <c r="I35" s="41"/>
      <c r="J35" s="41"/>
      <c r="K35" s="42"/>
      <c r="L35" s="41"/>
      <c r="M35" s="40"/>
      <c r="N35" s="40"/>
    </row>
    <row r="36" spans="1:14">
      <c r="A36" s="43" t="s">
        <v>77</v>
      </c>
      <c r="B36" s="41" t="s">
        <v>77</v>
      </c>
      <c r="C36" s="45">
        <v>0</v>
      </c>
      <c r="D36" s="43">
        <v>0</v>
      </c>
      <c r="E36" s="45">
        <f t="shared" ref="E36" si="78">C36*D36</f>
        <v>0</v>
      </c>
      <c r="F36" s="45" t="s">
        <v>77</v>
      </c>
      <c r="G36" s="43">
        <f t="shared" ref="G36" si="79">D36*$H$4</f>
        <v>0</v>
      </c>
      <c r="H36" s="45">
        <f t="shared" ref="H36" si="80">C36*D36*($H$4)</f>
        <v>0</v>
      </c>
      <c r="I36" s="41" t="s">
        <v>77</v>
      </c>
      <c r="J36" s="41" t="s">
        <v>77</v>
      </c>
      <c r="K36" s="42">
        <v>0</v>
      </c>
      <c r="L36" s="41">
        <v>0</v>
      </c>
      <c r="M36" s="40">
        <f t="shared" ref="M36" si="81">K36*$C$4</f>
        <v>0</v>
      </c>
      <c r="N36" s="40">
        <f t="shared" ref="N36" si="82">K36*$H$4</f>
        <v>0</v>
      </c>
    </row>
    <row r="37" spans="1:14">
      <c r="A37" s="43"/>
      <c r="B37" s="41"/>
      <c r="C37" s="45"/>
      <c r="D37" s="43"/>
      <c r="E37" s="45"/>
      <c r="F37" s="45"/>
      <c r="G37" s="43"/>
      <c r="H37" s="45"/>
      <c r="I37" s="41"/>
      <c r="J37" s="41"/>
      <c r="K37" s="42"/>
      <c r="L37" s="41"/>
      <c r="M37" s="40"/>
      <c r="N37" s="40"/>
    </row>
    <row r="38" spans="1:14">
      <c r="A38" s="43" t="s">
        <v>95</v>
      </c>
      <c r="B38" s="43" t="s">
        <v>77</v>
      </c>
      <c r="C38" s="43" t="s">
        <v>77</v>
      </c>
      <c r="D38" s="44">
        <f>SUM(D8:D36)</f>
        <v>1018.001</v>
      </c>
      <c r="E38" s="45">
        <f>SUM(E8:E36)</f>
        <v>5527.7824171762295</v>
      </c>
      <c r="F38" s="45">
        <f>SUM(F8:F36)</f>
        <v>110555.64834352459</v>
      </c>
      <c r="G38" s="46">
        <f>SUM(G8:G36)</f>
        <v>203600.2</v>
      </c>
      <c r="H38" s="45">
        <f>SUM(H8:H36)</f>
        <v>1105556.4834352459</v>
      </c>
      <c r="I38" s="43" t="s">
        <v>95</v>
      </c>
      <c r="J38" s="43" t="s">
        <v>77</v>
      </c>
      <c r="K38" s="43" t="s">
        <v>77</v>
      </c>
      <c r="L38" s="43">
        <f>SUM(L8:L36)</f>
        <v>1280</v>
      </c>
      <c r="M38" s="40">
        <f>SUM(M8:M36)</f>
        <v>111347.40000000001</v>
      </c>
      <c r="N38" s="40">
        <f>SUM(N8:N36)</f>
        <v>1113474</v>
      </c>
    </row>
    <row r="39" spans="1:14">
      <c r="A39" s="43"/>
      <c r="B39" s="43"/>
      <c r="C39" s="43"/>
      <c r="D39" s="44"/>
      <c r="E39" s="45"/>
      <c r="F39" s="45"/>
      <c r="G39" s="46"/>
      <c r="H39" s="45"/>
      <c r="I39" s="43"/>
      <c r="J39" s="43"/>
      <c r="K39" s="43"/>
      <c r="L39" s="43"/>
      <c r="M39" s="40"/>
      <c r="N39" s="40"/>
    </row>
    <row r="40" spans="1:14">
      <c r="B40" t="s">
        <v>123</v>
      </c>
      <c r="F40" s="35">
        <f>F38/(D38*C4)</f>
        <v>5.4300363331433168</v>
      </c>
      <c r="L40" s="40">
        <f>M38/(L38*C4)</f>
        <v>4.3495078125000006</v>
      </c>
    </row>
    <row r="41" spans="1:14">
      <c r="A41" t="s">
        <v>122</v>
      </c>
      <c r="B41">
        <v>1234</v>
      </c>
      <c r="L41" s="40"/>
    </row>
  </sheetData>
  <sheetProtection sheet="1" objects="1" scenarios="1"/>
  <customSheetViews>
    <customSheetView guid="{BD108985-86A0-4B5F-92C9-20C78F86C30A}">
      <selection activeCell="J36" sqref="J36:J37"/>
      <pageMargins left="0.511811024" right="0.511811024" top="0.78740157499999996" bottom="0.78740157499999996" header="0.31496062000000002" footer="0.31496062000000002"/>
      <pageSetup orientation="portrait" verticalDpi="0" r:id="rId1"/>
    </customSheetView>
  </customSheetViews>
  <mergeCells count="242">
    <mergeCell ref="G2:H2"/>
    <mergeCell ref="E26:E27"/>
    <mergeCell ref="E28:E29"/>
    <mergeCell ref="E30:E31"/>
    <mergeCell ref="E32:E33"/>
    <mergeCell ref="E34:E35"/>
    <mergeCell ref="E36:E37"/>
    <mergeCell ref="E38:E39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A5:G5"/>
    <mergeCell ref="H5:M5"/>
    <mergeCell ref="I6:I7"/>
    <mergeCell ref="J6:J7"/>
    <mergeCell ref="K6:K7"/>
    <mergeCell ref="L6:L7"/>
    <mergeCell ref="M6:M7"/>
    <mergeCell ref="N6:N7"/>
    <mergeCell ref="A6:A7"/>
    <mergeCell ref="B6:B7"/>
    <mergeCell ref="C6:C7"/>
    <mergeCell ref="F6:F7"/>
    <mergeCell ref="H6:H7"/>
    <mergeCell ref="D6:D7"/>
    <mergeCell ref="E6:E7"/>
    <mergeCell ref="N8:N9"/>
    <mergeCell ref="A10:A11"/>
    <mergeCell ref="B10:B11"/>
    <mergeCell ref="C10:C11"/>
    <mergeCell ref="D10:D11"/>
    <mergeCell ref="F10:F11"/>
    <mergeCell ref="H10:H11"/>
    <mergeCell ref="I10:I11"/>
    <mergeCell ref="J10:J11"/>
    <mergeCell ref="K10:K11"/>
    <mergeCell ref="H8:H9"/>
    <mergeCell ref="I8:I9"/>
    <mergeCell ref="J8:J9"/>
    <mergeCell ref="K8:K9"/>
    <mergeCell ref="L8:L9"/>
    <mergeCell ref="M8:M9"/>
    <mergeCell ref="B8:B9"/>
    <mergeCell ref="A8:A9"/>
    <mergeCell ref="C8:C9"/>
    <mergeCell ref="D8:D9"/>
    <mergeCell ref="F8:F9"/>
    <mergeCell ref="L10:L11"/>
    <mergeCell ref="M10:M11"/>
    <mergeCell ref="N10:N11"/>
    <mergeCell ref="L12:L13"/>
    <mergeCell ref="M12:M13"/>
    <mergeCell ref="N12:N13"/>
    <mergeCell ref="A14:A15"/>
    <mergeCell ref="B14:B15"/>
    <mergeCell ref="C14:C15"/>
    <mergeCell ref="D14:D15"/>
    <mergeCell ref="F14:F15"/>
    <mergeCell ref="N14:N15"/>
    <mergeCell ref="H14:H15"/>
    <mergeCell ref="I14:I15"/>
    <mergeCell ref="J14:J15"/>
    <mergeCell ref="K14:K15"/>
    <mergeCell ref="L14:L15"/>
    <mergeCell ref="M14:M15"/>
    <mergeCell ref="A12:A13"/>
    <mergeCell ref="B12:B13"/>
    <mergeCell ref="C12:C13"/>
    <mergeCell ref="D12:D13"/>
    <mergeCell ref="F12:F13"/>
    <mergeCell ref="H12:H13"/>
    <mergeCell ref="I12:I13"/>
    <mergeCell ref="J12:J13"/>
    <mergeCell ref="K12:K13"/>
    <mergeCell ref="L16:L17"/>
    <mergeCell ref="M16:M17"/>
    <mergeCell ref="N16:N17"/>
    <mergeCell ref="A18:A19"/>
    <mergeCell ref="B18:B19"/>
    <mergeCell ref="C18:C19"/>
    <mergeCell ref="D18:D19"/>
    <mergeCell ref="F18:F19"/>
    <mergeCell ref="H18:H19"/>
    <mergeCell ref="I18:I19"/>
    <mergeCell ref="J18:J19"/>
    <mergeCell ref="K18:K19"/>
    <mergeCell ref="L18:L19"/>
    <mergeCell ref="M18:M19"/>
    <mergeCell ref="N18:N19"/>
    <mergeCell ref="A16:A17"/>
    <mergeCell ref="B16:B17"/>
    <mergeCell ref="C16:C17"/>
    <mergeCell ref="D16:D17"/>
    <mergeCell ref="F16:F17"/>
    <mergeCell ref="H16:H17"/>
    <mergeCell ref="I16:I17"/>
    <mergeCell ref="J16:J17"/>
    <mergeCell ref="K16:K17"/>
    <mergeCell ref="A20:A21"/>
    <mergeCell ref="B20:B21"/>
    <mergeCell ref="C20:C21"/>
    <mergeCell ref="D20:D21"/>
    <mergeCell ref="F20:F21"/>
    <mergeCell ref="N20:N21"/>
    <mergeCell ref="A22:A23"/>
    <mergeCell ref="B22:B23"/>
    <mergeCell ref="C22:C23"/>
    <mergeCell ref="D22:D23"/>
    <mergeCell ref="F22:F23"/>
    <mergeCell ref="H22:H23"/>
    <mergeCell ref="I22:I23"/>
    <mergeCell ref="J22:J23"/>
    <mergeCell ref="K22:K23"/>
    <mergeCell ref="H20:H21"/>
    <mergeCell ref="I20:I21"/>
    <mergeCell ref="J20:J21"/>
    <mergeCell ref="K20:K21"/>
    <mergeCell ref="L20:L21"/>
    <mergeCell ref="M20:M21"/>
    <mergeCell ref="A26:A27"/>
    <mergeCell ref="B26:B27"/>
    <mergeCell ref="C26:C27"/>
    <mergeCell ref="D26:D27"/>
    <mergeCell ref="F26:F27"/>
    <mergeCell ref="H26:H27"/>
    <mergeCell ref="L22:L23"/>
    <mergeCell ref="M22:M23"/>
    <mergeCell ref="N22:N23"/>
    <mergeCell ref="A24:A25"/>
    <mergeCell ref="B24:B25"/>
    <mergeCell ref="C24:C25"/>
    <mergeCell ref="D24:D25"/>
    <mergeCell ref="F24:F25"/>
    <mergeCell ref="H24:H25"/>
    <mergeCell ref="M24:M25"/>
    <mergeCell ref="I24:I25"/>
    <mergeCell ref="J24:J25"/>
    <mergeCell ref="K24:K25"/>
    <mergeCell ref="L24:L25"/>
    <mergeCell ref="I26:I27"/>
    <mergeCell ref="J26:J27"/>
    <mergeCell ref="K26:K27"/>
    <mergeCell ref="L26:L27"/>
    <mergeCell ref="A30:A31"/>
    <mergeCell ref="B30:B31"/>
    <mergeCell ref="C30:C31"/>
    <mergeCell ref="D30:D31"/>
    <mergeCell ref="F30:F31"/>
    <mergeCell ref="H30:H31"/>
    <mergeCell ref="A28:A29"/>
    <mergeCell ref="B28:B29"/>
    <mergeCell ref="C28:C29"/>
    <mergeCell ref="D28:D29"/>
    <mergeCell ref="F28:F29"/>
    <mergeCell ref="H28:H29"/>
    <mergeCell ref="A34:A35"/>
    <mergeCell ref="B34:B35"/>
    <mergeCell ref="C34:C35"/>
    <mergeCell ref="D34:D35"/>
    <mergeCell ref="F34:F35"/>
    <mergeCell ref="H34:H35"/>
    <mergeCell ref="A32:A33"/>
    <mergeCell ref="B32:B33"/>
    <mergeCell ref="C32:C33"/>
    <mergeCell ref="D32:D33"/>
    <mergeCell ref="F32:F33"/>
    <mergeCell ref="H32:H33"/>
    <mergeCell ref="A38:A39"/>
    <mergeCell ref="B38:B39"/>
    <mergeCell ref="C38:C39"/>
    <mergeCell ref="D38:D39"/>
    <mergeCell ref="F38:F39"/>
    <mergeCell ref="H38:H39"/>
    <mergeCell ref="A36:A37"/>
    <mergeCell ref="B36:B37"/>
    <mergeCell ref="C36:C37"/>
    <mergeCell ref="D36:D37"/>
    <mergeCell ref="F36:F37"/>
    <mergeCell ref="H36:H37"/>
    <mergeCell ref="G38:G39"/>
    <mergeCell ref="N32:N33"/>
    <mergeCell ref="M34:M35"/>
    <mergeCell ref="N34:N35"/>
    <mergeCell ref="M36:M37"/>
    <mergeCell ref="N36:N37"/>
    <mergeCell ref="N24:N25"/>
    <mergeCell ref="M26:M27"/>
    <mergeCell ref="N26:N27"/>
    <mergeCell ref="M28:M29"/>
    <mergeCell ref="N28:N29"/>
    <mergeCell ref="M30:M31"/>
    <mergeCell ref="N30:N31"/>
    <mergeCell ref="M32:M33"/>
    <mergeCell ref="I32:I33"/>
    <mergeCell ref="J32:J33"/>
    <mergeCell ref="K32:K33"/>
    <mergeCell ref="L32:L33"/>
    <mergeCell ref="I34:I35"/>
    <mergeCell ref="J34:J35"/>
    <mergeCell ref="K34:K35"/>
    <mergeCell ref="L34:L35"/>
    <mergeCell ref="I28:I29"/>
    <mergeCell ref="J28:J29"/>
    <mergeCell ref="K28:K29"/>
    <mergeCell ref="L28:L29"/>
    <mergeCell ref="I30:I31"/>
    <mergeCell ref="J30:J31"/>
    <mergeCell ref="K30:K31"/>
    <mergeCell ref="L30:L31"/>
    <mergeCell ref="L40:L41"/>
    <mergeCell ref="M38:M39"/>
    <mergeCell ref="N38:N39"/>
    <mergeCell ref="I36:I37"/>
    <mergeCell ref="J36:J37"/>
    <mergeCell ref="K36:K37"/>
    <mergeCell ref="L36:L37"/>
    <mergeCell ref="I38:I39"/>
    <mergeCell ref="J38:J39"/>
    <mergeCell ref="K38:K39"/>
    <mergeCell ref="L38:L39"/>
  </mergeCells>
  <pageMargins left="0.51181102362204722" right="0.51181102362204722" top="0.78740157480314965" bottom="0.78740157480314965" header="0.31496062992125984" footer="0.31496062992125984"/>
  <pageSetup scale="82" orientation="landscape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/>
  </sheetPr>
  <dimension ref="A1:D38"/>
  <sheetViews>
    <sheetView topLeftCell="A9" workbookViewId="0">
      <selection activeCell="C36" sqref="C36"/>
    </sheetView>
  </sheetViews>
  <sheetFormatPr defaultRowHeight="15"/>
  <cols>
    <col min="1" max="1" width="32.85546875" bestFit="1" customWidth="1"/>
    <col min="2" max="2" width="12.85546875" customWidth="1"/>
    <col min="3" max="3" width="31.5703125" customWidth="1"/>
    <col min="4" max="4" width="13.42578125" customWidth="1"/>
  </cols>
  <sheetData>
    <row r="1" spans="1:4" ht="24.75" thickTop="1" thickBot="1">
      <c r="A1" s="50" t="s">
        <v>0</v>
      </c>
      <c r="B1" s="50"/>
      <c r="C1" s="50"/>
      <c r="D1" s="50"/>
    </row>
    <row r="2" spans="1:4" ht="24.75" thickTop="1" thickBot="1">
      <c r="A2" s="51" t="s">
        <v>50</v>
      </c>
      <c r="B2" s="52"/>
      <c r="C2" s="52"/>
      <c r="D2" s="53"/>
    </row>
    <row r="3" spans="1:4" ht="24.75" thickTop="1" thickBot="1">
      <c r="A3" s="51" t="s">
        <v>60</v>
      </c>
      <c r="B3" s="52"/>
      <c r="C3" s="52"/>
      <c r="D3" s="53"/>
    </row>
    <row r="4" spans="1:4" ht="24.75" thickTop="1" thickBot="1">
      <c r="A4" s="60"/>
      <c r="B4" s="60"/>
      <c r="C4" s="60"/>
      <c r="D4" s="60"/>
    </row>
    <row r="5" spans="1:4" ht="15.75" thickTop="1">
      <c r="A5" s="54" t="s">
        <v>67</v>
      </c>
      <c r="B5" s="55"/>
      <c r="C5" s="55"/>
      <c r="D5" s="56"/>
    </row>
    <row r="6" spans="1:4" ht="15.75" thickBot="1">
      <c r="A6" s="57"/>
      <c r="B6" s="58"/>
      <c r="C6" s="58"/>
      <c r="D6" s="59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18">
        <f>RESUMO!C3</f>
        <v>6.29</v>
      </c>
      <c r="C9" s="9" t="s">
        <v>6</v>
      </c>
      <c r="D9" s="28">
        <v>95000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1.258</v>
      </c>
      <c r="C11" s="9" t="s">
        <v>45</v>
      </c>
      <c r="D11" s="8">
        <f>D9/100*D10</f>
        <v>3800</v>
      </c>
    </row>
    <row r="12" spans="1:4" ht="15.75" thickBot="1">
      <c r="A12" s="10" t="s">
        <v>46</v>
      </c>
      <c r="B12" s="28">
        <v>48</v>
      </c>
      <c r="C12" s="9" t="s">
        <v>10</v>
      </c>
      <c r="D12" s="8">
        <f>D11/12</f>
        <v>316.66666666666669</v>
      </c>
    </row>
    <row r="13" spans="1:4" ht="15.75" thickBot="1">
      <c r="A13" s="5" t="s">
        <v>11</v>
      </c>
      <c r="B13" s="29"/>
      <c r="C13" s="9" t="s">
        <v>47</v>
      </c>
      <c r="D13" s="12">
        <f>B12*RESUMO!C4</f>
        <v>960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0.3298611111111111</v>
      </c>
    </row>
    <row r="15" spans="1:4">
      <c r="A15" s="7" t="s">
        <v>48</v>
      </c>
      <c r="B15" s="30">
        <v>7</v>
      </c>
      <c r="C15" s="15" t="s">
        <v>14</v>
      </c>
      <c r="D15" s="16"/>
    </row>
    <row r="16" spans="1:4">
      <c r="A16" s="7" t="s">
        <v>15</v>
      </c>
      <c r="B16" s="28">
        <v>10000</v>
      </c>
      <c r="C16" s="9" t="s">
        <v>16</v>
      </c>
      <c r="D16" s="37">
        <f>RESUMO!G3</f>
        <v>2495.0813289999996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207.92344408333329</v>
      </c>
    </row>
    <row r="18" spans="1:4">
      <c r="A18" s="5" t="s">
        <v>19</v>
      </c>
      <c r="B18" s="8"/>
      <c r="C18" s="9" t="s">
        <v>20</v>
      </c>
      <c r="D18" s="18">
        <f>D16/12</f>
        <v>207.92344408333329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69.307814694444431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199.60650631999997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523.96707908999986</v>
      </c>
    </row>
    <row r="22" spans="1:4" ht="15.75" thickBot="1">
      <c r="A22" s="7" t="s">
        <v>27</v>
      </c>
      <c r="B22" s="28">
        <v>8000</v>
      </c>
      <c r="C22" s="7" t="s">
        <v>28</v>
      </c>
      <c r="D22" s="18">
        <f>D16+D17+D18+D19+D20+D21</f>
        <v>3703.8096172711107</v>
      </c>
    </row>
    <row r="23" spans="1:4" ht="15.75" thickBot="1">
      <c r="A23" s="10" t="s">
        <v>29</v>
      </c>
      <c r="B23" s="11">
        <f>B21/B22</f>
        <v>0.41249999999999998</v>
      </c>
      <c r="C23" s="7" t="s">
        <v>124</v>
      </c>
      <c r="D23" s="31">
        <v>6</v>
      </c>
    </row>
    <row r="24" spans="1:4" ht="15.75" thickBot="1">
      <c r="A24" s="5" t="s">
        <v>30</v>
      </c>
      <c r="B24" s="16"/>
      <c r="C24" s="7" t="s">
        <v>128</v>
      </c>
      <c r="D24" s="18">
        <f>D22/8*(D23)</f>
        <v>2777.8572129533331</v>
      </c>
    </row>
    <row r="25" spans="1:4" ht="15.75" thickBot="1">
      <c r="A25" s="7" t="s">
        <v>31</v>
      </c>
      <c r="B25" s="17">
        <f>D13*B23</f>
        <v>396</v>
      </c>
      <c r="C25" s="13" t="s">
        <v>32</v>
      </c>
      <c r="D25" s="11">
        <f>D24/D13</f>
        <v>2.8936012634930552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49</v>
      </c>
    </row>
    <row r="27" spans="1:4">
      <c r="A27" s="10"/>
      <c r="B27" s="20"/>
      <c r="C27" s="7" t="s">
        <v>130</v>
      </c>
      <c r="D27" s="8">
        <f>RESUMO!I3</f>
        <v>0</v>
      </c>
    </row>
    <row r="28" spans="1:4">
      <c r="A28" s="10"/>
      <c r="B28" s="20"/>
      <c r="C28" s="7" t="s">
        <v>35</v>
      </c>
      <c r="D28" s="28">
        <v>800</v>
      </c>
    </row>
    <row r="29" spans="1:4">
      <c r="A29" s="10"/>
      <c r="B29" s="20"/>
      <c r="C29" s="7" t="s">
        <v>52</v>
      </c>
      <c r="D29" s="28">
        <v>700</v>
      </c>
    </row>
    <row r="30" spans="1:4">
      <c r="A30" s="10"/>
      <c r="B30" s="20"/>
      <c r="C30" s="7" t="s">
        <v>36</v>
      </c>
      <c r="D30" s="28">
        <v>150</v>
      </c>
    </row>
    <row r="31" spans="1:4">
      <c r="A31" s="10"/>
      <c r="B31" s="20"/>
      <c r="C31" s="7" t="s">
        <v>37</v>
      </c>
      <c r="D31" s="28">
        <v>1400</v>
      </c>
    </row>
    <row r="32" spans="1:4">
      <c r="A32" s="10"/>
      <c r="B32" s="20"/>
      <c r="C32" s="7" t="s">
        <v>38</v>
      </c>
      <c r="D32" s="8">
        <f>SUM(D27:D31)</f>
        <v>3050</v>
      </c>
    </row>
    <row r="33" spans="1:4" ht="15.75" thickBot="1">
      <c r="A33" s="10"/>
      <c r="B33" s="20"/>
      <c r="C33" s="10" t="s">
        <v>39</v>
      </c>
      <c r="D33" s="11">
        <f>(D32/10)/D13</f>
        <v>0.31770833333333331</v>
      </c>
    </row>
    <row r="34" spans="1:4" ht="16.5" thickTop="1" thickBot="1">
      <c r="A34" s="21" t="s">
        <v>40</v>
      </c>
      <c r="B34" s="22">
        <f>B23+B17+B11+B26</f>
        <v>2.1004999999999998</v>
      </c>
      <c r="C34" s="21" t="s">
        <v>41</v>
      </c>
      <c r="D34" s="22">
        <f>D33+D25+D14</f>
        <v>3.5411707079374999</v>
      </c>
    </row>
    <row r="35" spans="1:4" ht="16.5" thickTop="1" thickBot="1">
      <c r="A35" s="23" t="s">
        <v>42</v>
      </c>
      <c r="B35" s="24"/>
      <c r="C35" s="25"/>
      <c r="D35" s="26">
        <f>D34+B34</f>
        <v>5.6416707079375001</v>
      </c>
    </row>
    <row r="36" spans="1:4" ht="16.5" thickTop="1" thickBot="1">
      <c r="A36" s="23" t="s">
        <v>43</v>
      </c>
      <c r="B36" s="24"/>
      <c r="C36" s="25"/>
      <c r="D36" s="28">
        <v>20</v>
      </c>
    </row>
    <row r="37" spans="1:4" ht="16.5" thickTop="1" thickBot="1">
      <c r="A37" s="23" t="s">
        <v>44</v>
      </c>
      <c r="B37" s="24"/>
      <c r="C37" s="25"/>
      <c r="D37" s="27">
        <f>D35/100*D36+D35</f>
        <v>6.7700048495249998</v>
      </c>
    </row>
    <row r="38" spans="1:4" ht="15.75" thickTop="1">
      <c r="A38" s="1"/>
      <c r="B38" s="1"/>
      <c r="C38" s="1"/>
      <c r="D38" s="1"/>
    </row>
  </sheetData>
  <sheetProtection sheet="1" objects="1" scenarios="1"/>
  <customSheetViews>
    <customSheetView guid="{BD108985-86A0-4B5F-92C9-20C78F86C30A}" topLeftCell="A4">
      <selection activeCell="D14" sqref="D14"/>
      <pageMargins left="0.511811024" right="0.511811024" top="0.78740157499999996" bottom="0.78740157499999996" header="0.31496062000000002" footer="0.31496062000000002"/>
      <pageSetup paperSize="9" orientation="portrait" verticalDpi="0" r:id="rId1"/>
    </customSheetView>
  </customSheetViews>
  <mergeCells count="5">
    <mergeCell ref="A1:D1"/>
    <mergeCell ref="A2:D2"/>
    <mergeCell ref="A3:D3"/>
    <mergeCell ref="A4:D4"/>
    <mergeCell ref="A5:D6"/>
  </mergeCells>
  <pageMargins left="0.511811024" right="0.511811024" top="0.78740157499999996" bottom="0.78740157499999996" header="0.31496062000000002" footer="0.31496062000000002"/>
  <pageSetup paperSize="9" orientation="portrait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/>
  </sheetPr>
  <dimension ref="A1:D38"/>
  <sheetViews>
    <sheetView topLeftCell="A10" workbookViewId="0">
      <selection activeCell="C27" sqref="C27"/>
    </sheetView>
  </sheetViews>
  <sheetFormatPr defaultRowHeight="15"/>
  <cols>
    <col min="1" max="1" width="32.85546875" bestFit="1" customWidth="1"/>
    <col min="2" max="2" width="12" customWidth="1"/>
    <col min="3" max="3" width="31.5703125" customWidth="1"/>
    <col min="4" max="4" width="14.42578125" customWidth="1"/>
  </cols>
  <sheetData>
    <row r="1" spans="1:4" ht="24.75" thickTop="1" thickBot="1">
      <c r="A1" s="50" t="s">
        <v>0</v>
      </c>
      <c r="B1" s="50"/>
      <c r="C1" s="50"/>
      <c r="D1" s="50"/>
    </row>
    <row r="2" spans="1:4" ht="24.75" thickTop="1" thickBot="1">
      <c r="A2" s="51" t="s">
        <v>50</v>
      </c>
      <c r="B2" s="52"/>
      <c r="C2" s="52"/>
      <c r="D2" s="53"/>
    </row>
    <row r="3" spans="1:4" ht="24.75" thickTop="1" thickBot="1">
      <c r="A3" s="51" t="s">
        <v>61</v>
      </c>
      <c r="B3" s="52"/>
      <c r="C3" s="52"/>
      <c r="D3" s="53"/>
    </row>
    <row r="4" spans="1:4" ht="24.75" thickTop="1" thickBot="1">
      <c r="A4" s="60"/>
      <c r="B4" s="60"/>
      <c r="C4" s="60"/>
      <c r="D4" s="60"/>
    </row>
    <row r="5" spans="1:4" ht="15.75" thickTop="1">
      <c r="A5" s="54" t="s">
        <v>67</v>
      </c>
      <c r="B5" s="55"/>
      <c r="C5" s="55"/>
      <c r="D5" s="56"/>
    </row>
    <row r="6" spans="1:4" ht="15.75" thickBot="1">
      <c r="A6" s="57"/>
      <c r="B6" s="58"/>
      <c r="C6" s="58"/>
      <c r="D6" s="59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18">
        <f>RESUMO!C3</f>
        <v>6.29</v>
      </c>
      <c r="C9" s="9" t="s">
        <v>6</v>
      </c>
      <c r="D9" s="28">
        <v>95000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1.258</v>
      </c>
      <c r="C11" s="9" t="s">
        <v>45</v>
      </c>
      <c r="D11" s="8">
        <f>D9/100*D10</f>
        <v>3800</v>
      </c>
    </row>
    <row r="12" spans="1:4" ht="15.75" thickBot="1">
      <c r="A12" s="10" t="s">
        <v>46</v>
      </c>
      <c r="B12" s="28">
        <v>20</v>
      </c>
      <c r="C12" s="9" t="s">
        <v>10</v>
      </c>
      <c r="D12" s="8">
        <f>D11/12</f>
        <v>316.66666666666669</v>
      </c>
    </row>
    <row r="13" spans="1:4" ht="15.75" thickBot="1">
      <c r="A13" s="5" t="s">
        <v>11</v>
      </c>
      <c r="B13" s="29"/>
      <c r="C13" s="9" t="s">
        <v>47</v>
      </c>
      <c r="D13" s="12">
        <f>B12*RESUMO!C4</f>
        <v>400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0.79166666666666674</v>
      </c>
    </row>
    <row r="15" spans="1:4">
      <c r="A15" s="7" t="s">
        <v>48</v>
      </c>
      <c r="B15" s="30">
        <v>7</v>
      </c>
      <c r="C15" s="15" t="s">
        <v>14</v>
      </c>
      <c r="D15" s="16"/>
    </row>
    <row r="16" spans="1:4">
      <c r="A16" s="7" t="s">
        <v>15</v>
      </c>
      <c r="B16" s="28">
        <v>10000</v>
      </c>
      <c r="C16" s="9" t="s">
        <v>126</v>
      </c>
      <c r="D16" s="37">
        <f>RESUMO!G3</f>
        <v>2495.0813289999996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207.92344408333329</v>
      </c>
    </row>
    <row r="18" spans="1:4">
      <c r="A18" s="5" t="s">
        <v>19</v>
      </c>
      <c r="B18" s="8"/>
      <c r="C18" s="9" t="s">
        <v>20</v>
      </c>
      <c r="D18" s="18">
        <f>D16/12</f>
        <v>207.92344408333329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69.307814694444431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199.60650631999997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523.96707908999986</v>
      </c>
    </row>
    <row r="22" spans="1:4" ht="15.75" thickBot="1">
      <c r="A22" s="7" t="s">
        <v>27</v>
      </c>
      <c r="B22" s="28">
        <v>8000</v>
      </c>
      <c r="C22" s="7" t="s">
        <v>28</v>
      </c>
      <c r="D22" s="18">
        <f>D16+D17+D18+D19+D20+D21</f>
        <v>3703.8096172711107</v>
      </c>
    </row>
    <row r="23" spans="1:4" ht="15.75" thickBot="1">
      <c r="A23" s="10" t="s">
        <v>29</v>
      </c>
      <c r="B23" s="11">
        <f>B21/B22</f>
        <v>0.41249999999999998</v>
      </c>
      <c r="C23" s="7" t="s">
        <v>124</v>
      </c>
      <c r="D23" s="31">
        <v>1.25</v>
      </c>
    </row>
    <row r="24" spans="1:4" ht="15.75" thickBot="1">
      <c r="A24" s="5" t="s">
        <v>30</v>
      </c>
      <c r="B24" s="16"/>
      <c r="C24" s="7" t="s">
        <v>125</v>
      </c>
      <c r="D24" s="18">
        <f>(D22/8)*D23</f>
        <v>578.72025269861103</v>
      </c>
    </row>
    <row r="25" spans="1:4" ht="15.75" thickBot="1">
      <c r="A25" s="7" t="s">
        <v>31</v>
      </c>
      <c r="B25" s="17">
        <f>D13*B23</f>
        <v>165</v>
      </c>
      <c r="C25" s="13" t="s">
        <v>32</v>
      </c>
      <c r="D25" s="11">
        <f>D24/D13</f>
        <v>1.4468006317465276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49</v>
      </c>
    </row>
    <row r="27" spans="1:4">
      <c r="A27" s="10"/>
      <c r="B27" s="20"/>
      <c r="C27" s="7" t="s">
        <v>130</v>
      </c>
      <c r="D27" s="8">
        <f>RESUMO!I3</f>
        <v>0</v>
      </c>
    </row>
    <row r="28" spans="1:4">
      <c r="A28" s="10"/>
      <c r="B28" s="20"/>
      <c r="C28" s="7" t="s">
        <v>35</v>
      </c>
      <c r="D28" s="28">
        <v>800</v>
      </c>
    </row>
    <row r="29" spans="1:4">
      <c r="A29" s="10"/>
      <c r="B29" s="20"/>
      <c r="C29" s="7" t="s">
        <v>52</v>
      </c>
      <c r="D29" s="28">
        <v>700</v>
      </c>
    </row>
    <row r="30" spans="1:4">
      <c r="A30" s="10"/>
      <c r="B30" s="20"/>
      <c r="C30" s="7" t="s">
        <v>36</v>
      </c>
      <c r="D30" s="28">
        <v>150</v>
      </c>
    </row>
    <row r="31" spans="1:4">
      <c r="A31" s="10"/>
      <c r="B31" s="20"/>
      <c r="C31" s="7" t="s">
        <v>37</v>
      </c>
      <c r="D31" s="28">
        <v>1400</v>
      </c>
    </row>
    <row r="32" spans="1:4">
      <c r="A32" s="10"/>
      <c r="B32" s="20"/>
      <c r="C32" s="7" t="s">
        <v>38</v>
      </c>
      <c r="D32" s="8">
        <f>SUM(D27:D31)</f>
        <v>3050</v>
      </c>
    </row>
    <row r="33" spans="1:4" ht="15.75" thickBot="1">
      <c r="A33" s="10"/>
      <c r="B33" s="20"/>
      <c r="C33" s="10" t="s">
        <v>39</v>
      </c>
      <c r="D33" s="11">
        <f>(D32/10)/D13</f>
        <v>0.76249999999999996</v>
      </c>
    </row>
    <row r="34" spans="1:4" ht="16.5" thickTop="1" thickBot="1">
      <c r="A34" s="21" t="s">
        <v>40</v>
      </c>
      <c r="B34" s="22">
        <f>B23+B17+B11+B26</f>
        <v>2.1004999999999998</v>
      </c>
      <c r="C34" s="21" t="s">
        <v>41</v>
      </c>
      <c r="D34" s="22">
        <f>D33+D25+D14</f>
        <v>3.0009672984131948</v>
      </c>
    </row>
    <row r="35" spans="1:4" ht="16.5" thickTop="1" thickBot="1">
      <c r="A35" s="23" t="s">
        <v>42</v>
      </c>
      <c r="B35" s="24"/>
      <c r="C35" s="25"/>
      <c r="D35" s="26">
        <f>D34+B34</f>
        <v>5.1014672984131941</v>
      </c>
    </row>
    <row r="36" spans="1:4" ht="16.5" thickTop="1" thickBot="1">
      <c r="A36" s="23" t="s">
        <v>43</v>
      </c>
      <c r="B36" s="24"/>
      <c r="C36" s="25"/>
      <c r="D36" s="28">
        <v>20</v>
      </c>
    </row>
    <row r="37" spans="1:4" ht="16.5" thickTop="1" thickBot="1">
      <c r="A37" s="23" t="s">
        <v>44</v>
      </c>
      <c r="B37" s="24"/>
      <c r="C37" s="25"/>
      <c r="D37" s="27">
        <f>D35/100*D36+D35</f>
        <v>6.1217607580958333</v>
      </c>
    </row>
    <row r="38" spans="1:4" ht="15.75" thickTop="1">
      <c r="A38" s="1"/>
      <c r="B38" s="1"/>
      <c r="C38" s="1"/>
      <c r="D38" s="1"/>
    </row>
  </sheetData>
  <sheetProtection sheet="1" objects="1" scenarios="1"/>
  <customSheetViews>
    <customSheetView guid="{BD108985-86A0-4B5F-92C9-20C78F86C30A}">
      <selection activeCell="D14" sqref="D14"/>
      <pageMargins left="0.511811024" right="0.511811024" top="0.78740157499999996" bottom="0.78740157499999996" header="0.31496062000000002" footer="0.31496062000000002"/>
      <pageSetup paperSize="9" orientation="portrait" verticalDpi="0" r:id="rId1"/>
    </customSheetView>
  </customSheetViews>
  <mergeCells count="5">
    <mergeCell ref="A1:D1"/>
    <mergeCell ref="A2:D2"/>
    <mergeCell ref="A3:D3"/>
    <mergeCell ref="A4:D4"/>
    <mergeCell ref="A5:D6"/>
  </mergeCells>
  <pageMargins left="0.511811024" right="0.511811024" top="0.78740157499999996" bottom="0.78740157499999996" header="0.31496062000000002" footer="0.31496062000000002"/>
  <pageSetup paperSize="9" orientation="portrait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/>
  </sheetPr>
  <dimension ref="A1:G38"/>
  <sheetViews>
    <sheetView topLeftCell="A3" workbookViewId="0">
      <selection activeCell="C27" sqref="C27"/>
    </sheetView>
  </sheetViews>
  <sheetFormatPr defaultRowHeight="15"/>
  <cols>
    <col min="1" max="1" width="32.85546875" bestFit="1" customWidth="1"/>
    <col min="2" max="2" width="12" customWidth="1"/>
    <col min="3" max="3" width="30.140625" bestFit="1" customWidth="1"/>
    <col min="4" max="4" width="15.85546875" customWidth="1"/>
  </cols>
  <sheetData>
    <row r="1" spans="1:4" ht="24.75" thickTop="1" thickBot="1">
      <c r="A1" s="50" t="s">
        <v>0</v>
      </c>
      <c r="B1" s="50"/>
      <c r="C1" s="50"/>
      <c r="D1" s="50"/>
    </row>
    <row r="2" spans="1:4" ht="24.75" thickTop="1" thickBot="1">
      <c r="A2" s="51" t="s">
        <v>50</v>
      </c>
      <c r="B2" s="52"/>
      <c r="C2" s="52"/>
      <c r="D2" s="53"/>
    </row>
    <row r="3" spans="1:4" ht="24.75" thickTop="1" thickBot="1">
      <c r="A3" s="51" t="s">
        <v>62</v>
      </c>
      <c r="B3" s="52"/>
      <c r="C3" s="52"/>
      <c r="D3" s="53"/>
    </row>
    <row r="4" spans="1:4" ht="24.75" thickTop="1" thickBot="1">
      <c r="A4" s="60"/>
      <c r="B4" s="60"/>
      <c r="C4" s="60"/>
      <c r="D4" s="60"/>
    </row>
    <row r="5" spans="1:4" ht="15.75" thickTop="1">
      <c r="A5" s="54" t="s">
        <v>67</v>
      </c>
      <c r="B5" s="55"/>
      <c r="C5" s="55"/>
      <c r="D5" s="56"/>
    </row>
    <row r="6" spans="1:4" ht="15.75" thickBot="1">
      <c r="A6" s="57"/>
      <c r="B6" s="58"/>
      <c r="C6" s="58"/>
      <c r="D6" s="59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18">
        <f>RESUMO!C3</f>
        <v>6.29</v>
      </c>
      <c r="C9" s="9" t="s">
        <v>6</v>
      </c>
      <c r="D9" s="28">
        <v>95000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1.258</v>
      </c>
      <c r="C11" s="9" t="s">
        <v>45</v>
      </c>
      <c r="D11" s="8">
        <f>D9/100*D10</f>
        <v>3800</v>
      </c>
    </row>
    <row r="12" spans="1:4" ht="15.75" thickBot="1">
      <c r="A12" s="10" t="s">
        <v>46</v>
      </c>
      <c r="B12" s="28">
        <f>35*2</f>
        <v>70</v>
      </c>
      <c r="C12" s="9" t="s">
        <v>10</v>
      </c>
      <c r="D12" s="8">
        <f>D11/12</f>
        <v>316.66666666666669</v>
      </c>
    </row>
    <row r="13" spans="1:4" ht="15.75" thickBot="1">
      <c r="A13" s="5" t="s">
        <v>11</v>
      </c>
      <c r="B13" s="29"/>
      <c r="C13" s="9" t="s">
        <v>47</v>
      </c>
      <c r="D13" s="12">
        <f>B12*RESUMO!C4</f>
        <v>1400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0.22619047619047619</v>
      </c>
    </row>
    <row r="15" spans="1:4">
      <c r="A15" s="7" t="s">
        <v>48</v>
      </c>
      <c r="B15" s="30">
        <v>7</v>
      </c>
      <c r="C15" s="15" t="s">
        <v>14</v>
      </c>
      <c r="D15" s="16"/>
    </row>
    <row r="16" spans="1:4">
      <c r="A16" s="7" t="s">
        <v>15</v>
      </c>
      <c r="B16" s="28">
        <v>10000</v>
      </c>
      <c r="C16" s="9" t="s">
        <v>16</v>
      </c>
      <c r="D16" s="37">
        <f>RESUMO!G3</f>
        <v>2495.0813289999996</v>
      </c>
    </row>
    <row r="17" spans="1:7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207.92344408333329</v>
      </c>
    </row>
    <row r="18" spans="1:7">
      <c r="A18" s="5" t="s">
        <v>19</v>
      </c>
      <c r="B18" s="8"/>
      <c r="C18" s="9" t="s">
        <v>20</v>
      </c>
      <c r="D18" s="18">
        <f>D16/12</f>
        <v>207.92344408333329</v>
      </c>
    </row>
    <row r="19" spans="1:7">
      <c r="A19" s="7" t="s">
        <v>21</v>
      </c>
      <c r="B19" s="28">
        <v>550</v>
      </c>
      <c r="C19" s="7" t="s">
        <v>22</v>
      </c>
      <c r="D19" s="18">
        <f>D18/3</f>
        <v>69.307814694444431</v>
      </c>
    </row>
    <row r="20" spans="1:7">
      <c r="A20" s="7" t="s">
        <v>23</v>
      </c>
      <c r="B20" s="28">
        <v>6</v>
      </c>
      <c r="C20" s="7" t="s">
        <v>24</v>
      </c>
      <c r="D20" s="18">
        <f>D16*8%</f>
        <v>199.60650631999997</v>
      </c>
    </row>
    <row r="21" spans="1:7">
      <c r="A21" s="7" t="s">
        <v>25</v>
      </c>
      <c r="B21" s="8">
        <f>B19*B20</f>
        <v>3300</v>
      </c>
      <c r="C21" s="7" t="s">
        <v>26</v>
      </c>
      <c r="D21" s="18">
        <f>D16*21%</f>
        <v>523.96707908999986</v>
      </c>
    </row>
    <row r="22" spans="1:7" ht="15.75" thickBot="1">
      <c r="A22" s="7" t="s">
        <v>27</v>
      </c>
      <c r="B22" s="28">
        <v>8000</v>
      </c>
      <c r="C22" s="7" t="s">
        <v>28</v>
      </c>
      <c r="D22" s="18">
        <f>D16+D17+D18+D19+D20+D21</f>
        <v>3703.8096172711107</v>
      </c>
    </row>
    <row r="23" spans="1:7" ht="15.75" thickBot="1">
      <c r="A23" s="10" t="s">
        <v>29</v>
      </c>
      <c r="B23" s="11">
        <f>B21/B22</f>
        <v>0.41249999999999998</v>
      </c>
      <c r="C23" s="7" t="s">
        <v>124</v>
      </c>
      <c r="D23" s="31">
        <v>6.5</v>
      </c>
    </row>
    <row r="24" spans="1:7" ht="15.75" thickBot="1">
      <c r="A24" s="5" t="s">
        <v>30</v>
      </c>
      <c r="B24" s="16"/>
      <c r="C24" s="7" t="s">
        <v>128</v>
      </c>
      <c r="D24" s="18">
        <f>D22/8*(D23)</f>
        <v>3009.3453140327774</v>
      </c>
    </row>
    <row r="25" spans="1:7" ht="15.75" thickBot="1">
      <c r="A25" s="7" t="s">
        <v>31</v>
      </c>
      <c r="B25" s="17">
        <f>D13*B23</f>
        <v>577.5</v>
      </c>
      <c r="C25" s="13" t="s">
        <v>32</v>
      </c>
      <c r="D25" s="11">
        <f>D24/D13</f>
        <v>2.1495323671662696</v>
      </c>
    </row>
    <row r="26" spans="1:7">
      <c r="A26" s="10" t="s">
        <v>33</v>
      </c>
      <c r="B26" s="11">
        <f>B25/D13</f>
        <v>0.41249999999999998</v>
      </c>
      <c r="C26" s="19" t="s">
        <v>34</v>
      </c>
      <c r="D26" s="8" t="s">
        <v>49</v>
      </c>
    </row>
    <row r="27" spans="1:7">
      <c r="A27" s="10"/>
      <c r="B27" s="20"/>
      <c r="C27" s="7" t="s">
        <v>130</v>
      </c>
      <c r="D27" s="8">
        <f>RESUMO!I3</f>
        <v>0</v>
      </c>
    </row>
    <row r="28" spans="1:7">
      <c r="A28" s="10"/>
      <c r="B28" s="20"/>
      <c r="C28" s="7" t="s">
        <v>35</v>
      </c>
      <c r="D28" s="28">
        <v>800</v>
      </c>
      <c r="G28" t="s">
        <v>65</v>
      </c>
    </row>
    <row r="29" spans="1:7">
      <c r="A29" s="10"/>
      <c r="B29" s="20"/>
      <c r="C29" s="7" t="s">
        <v>52</v>
      </c>
      <c r="D29" s="28">
        <v>700</v>
      </c>
    </row>
    <row r="30" spans="1:7">
      <c r="A30" s="10"/>
      <c r="B30" s="20"/>
      <c r="C30" s="7" t="s">
        <v>36</v>
      </c>
      <c r="D30" s="28">
        <v>150</v>
      </c>
    </row>
    <row r="31" spans="1:7">
      <c r="A31" s="10"/>
      <c r="B31" s="20"/>
      <c r="C31" s="7" t="s">
        <v>37</v>
      </c>
      <c r="D31" s="28">
        <v>1400</v>
      </c>
    </row>
    <row r="32" spans="1:7">
      <c r="A32" s="10"/>
      <c r="B32" s="20"/>
      <c r="C32" s="7" t="s">
        <v>38</v>
      </c>
      <c r="D32" s="8">
        <f>SUM(D27:D31)</f>
        <v>3050</v>
      </c>
    </row>
    <row r="33" spans="1:4" ht="15.75" thickBot="1">
      <c r="A33" s="10"/>
      <c r="B33" s="20"/>
      <c r="C33" s="10" t="s">
        <v>39</v>
      </c>
      <c r="D33" s="11">
        <f>(D32/10)/D13</f>
        <v>0.21785714285714286</v>
      </c>
    </row>
    <row r="34" spans="1:4" ht="16.5" thickTop="1" thickBot="1">
      <c r="A34" s="21" t="s">
        <v>40</v>
      </c>
      <c r="B34" s="22">
        <f>B23+B17+B11+B26</f>
        <v>2.1004999999999998</v>
      </c>
      <c r="C34" s="21" t="s">
        <v>41</v>
      </c>
      <c r="D34" s="22">
        <f>D33+D25+D14</f>
        <v>2.5935799862138889</v>
      </c>
    </row>
    <row r="35" spans="1:4" ht="16.5" thickTop="1" thickBot="1">
      <c r="A35" s="23" t="s">
        <v>42</v>
      </c>
      <c r="B35" s="24"/>
      <c r="C35" s="25"/>
      <c r="D35" s="26">
        <f>D34+B34</f>
        <v>4.6940799862138887</v>
      </c>
    </row>
    <row r="36" spans="1:4" ht="16.5" thickTop="1" thickBot="1">
      <c r="A36" s="23" t="s">
        <v>43</v>
      </c>
      <c r="B36" s="24"/>
      <c r="C36" s="25"/>
      <c r="D36" s="28">
        <v>10</v>
      </c>
    </row>
    <row r="37" spans="1:4" ht="16.5" thickTop="1" thickBot="1">
      <c r="A37" s="23" t="s">
        <v>44</v>
      </c>
      <c r="B37" s="24"/>
      <c r="C37" s="25"/>
      <c r="D37" s="27">
        <f>D35/100*D36+D35</f>
        <v>5.1634879848352773</v>
      </c>
    </row>
    <row r="38" spans="1:4" ht="15.75" thickTop="1">
      <c r="A38" s="1"/>
      <c r="B38" s="1"/>
      <c r="C38" s="1"/>
      <c r="D38" s="1"/>
    </row>
  </sheetData>
  <sheetProtection sheet="1" objects="1" scenarios="1"/>
  <customSheetViews>
    <customSheetView guid="{BD108985-86A0-4B5F-92C9-20C78F86C30A}">
      <selection activeCell="D14" sqref="D14"/>
      <pageMargins left="0.511811024" right="0.511811024" top="0.78740157499999996" bottom="0.78740157499999996" header="0.31496062000000002" footer="0.31496062000000002"/>
      <pageSetup paperSize="9" orientation="portrait" verticalDpi="0" r:id="rId1"/>
    </customSheetView>
  </customSheetViews>
  <mergeCells count="5">
    <mergeCell ref="A1:D1"/>
    <mergeCell ref="A2:D2"/>
    <mergeCell ref="A3:D3"/>
    <mergeCell ref="A4:D4"/>
    <mergeCell ref="A5:D6"/>
  </mergeCells>
  <pageMargins left="0.511811024" right="0.511811024" top="0.78740157499999996" bottom="0.78740157499999996" header="0.31496062000000002" footer="0.31496062000000002"/>
  <pageSetup paperSize="9" orientation="portrait" verticalDpi="0"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/>
  </sheetPr>
  <dimension ref="A1:D38"/>
  <sheetViews>
    <sheetView topLeftCell="A9" workbookViewId="0">
      <selection activeCell="C36" sqref="C36"/>
    </sheetView>
  </sheetViews>
  <sheetFormatPr defaultRowHeight="15"/>
  <cols>
    <col min="1" max="1" width="32.85546875" bestFit="1" customWidth="1"/>
    <col min="2" max="2" width="11.42578125" customWidth="1"/>
    <col min="3" max="3" width="32.85546875" customWidth="1"/>
    <col min="4" max="4" width="13.85546875" customWidth="1"/>
  </cols>
  <sheetData>
    <row r="1" spans="1:4" ht="24.75" thickTop="1" thickBot="1">
      <c r="A1" s="50" t="s">
        <v>0</v>
      </c>
      <c r="B1" s="50"/>
      <c r="C1" s="50"/>
      <c r="D1" s="50"/>
    </row>
    <row r="2" spans="1:4" ht="24.75" thickTop="1" thickBot="1">
      <c r="A2" s="51" t="s">
        <v>50</v>
      </c>
      <c r="B2" s="52"/>
      <c r="C2" s="52"/>
      <c r="D2" s="53"/>
    </row>
    <row r="3" spans="1:4" ht="24.75" thickTop="1" thickBot="1">
      <c r="A3" s="51" t="s">
        <v>63</v>
      </c>
      <c r="B3" s="52"/>
      <c r="C3" s="52"/>
      <c r="D3" s="53"/>
    </row>
    <row r="4" spans="1:4" ht="24.75" thickTop="1" thickBot="1">
      <c r="A4" s="60"/>
      <c r="B4" s="60"/>
      <c r="C4" s="60"/>
      <c r="D4" s="60"/>
    </row>
    <row r="5" spans="1:4" ht="15.75" thickTop="1">
      <c r="A5" s="54" t="s">
        <v>67</v>
      </c>
      <c r="B5" s="55"/>
      <c r="C5" s="55"/>
      <c r="D5" s="56"/>
    </row>
    <row r="6" spans="1:4" ht="15.75" thickBot="1">
      <c r="A6" s="57"/>
      <c r="B6" s="58"/>
      <c r="C6" s="58"/>
      <c r="D6" s="59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18"/>
      <c r="C8" s="6" t="s">
        <v>4</v>
      </c>
      <c r="D8" s="3"/>
    </row>
    <row r="9" spans="1:4">
      <c r="A9" s="7" t="s">
        <v>5</v>
      </c>
      <c r="B9" s="18">
        <f>RESUMO!C3</f>
        <v>6.29</v>
      </c>
      <c r="C9" s="9" t="s">
        <v>6</v>
      </c>
      <c r="D9" s="28">
        <v>95000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1.258</v>
      </c>
      <c r="C11" s="9" t="s">
        <v>45</v>
      </c>
      <c r="D11" s="8">
        <f>D9/100*D10</f>
        <v>3800</v>
      </c>
    </row>
    <row r="12" spans="1:4" ht="15.75" thickBot="1">
      <c r="A12" s="10" t="s">
        <v>46</v>
      </c>
      <c r="B12" s="28">
        <f>12.5*2</f>
        <v>25</v>
      </c>
      <c r="C12" s="9" t="s">
        <v>10</v>
      </c>
      <c r="D12" s="8">
        <f>D11/12</f>
        <v>316.66666666666669</v>
      </c>
    </row>
    <row r="13" spans="1:4" ht="15.75" thickBot="1">
      <c r="A13" s="5" t="s">
        <v>11</v>
      </c>
      <c r="B13" s="29"/>
      <c r="C13" s="9" t="s">
        <v>47</v>
      </c>
      <c r="D13" s="12">
        <f>B12*RESUMO!C4</f>
        <v>500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0.63333333333333341</v>
      </c>
    </row>
    <row r="15" spans="1:4">
      <c r="A15" s="7" t="s">
        <v>48</v>
      </c>
      <c r="B15" s="30">
        <v>7</v>
      </c>
      <c r="C15" s="15" t="s">
        <v>14</v>
      </c>
      <c r="D15" s="16"/>
    </row>
    <row r="16" spans="1:4">
      <c r="A16" s="7" t="s">
        <v>15</v>
      </c>
      <c r="B16" s="28">
        <v>10000</v>
      </c>
      <c r="C16" s="9" t="s">
        <v>16</v>
      </c>
      <c r="D16" s="37">
        <f>RESUMO!G3</f>
        <v>2495.0813289999996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207.92344408333329</v>
      </c>
    </row>
    <row r="18" spans="1:4">
      <c r="A18" s="5" t="s">
        <v>19</v>
      </c>
      <c r="B18" s="8"/>
      <c r="C18" s="9" t="s">
        <v>20</v>
      </c>
      <c r="D18" s="18">
        <f>D16/12</f>
        <v>207.92344408333329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69.307814694444431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199.60650631999997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523.96707908999986</v>
      </c>
    </row>
    <row r="22" spans="1:4" ht="15.75" thickBot="1">
      <c r="A22" s="7" t="s">
        <v>27</v>
      </c>
      <c r="B22" s="28">
        <v>8000</v>
      </c>
      <c r="C22" s="7" t="s">
        <v>28</v>
      </c>
      <c r="D22" s="18">
        <f>D16+D17+D18+D19+D20+D21</f>
        <v>3703.8096172711107</v>
      </c>
    </row>
    <row r="23" spans="1:4" ht="15.75" thickBot="1">
      <c r="A23" s="10" t="s">
        <v>29</v>
      </c>
      <c r="B23" s="11">
        <f>B21/B22</f>
        <v>0.41249999999999998</v>
      </c>
      <c r="C23" s="7" t="s">
        <v>124</v>
      </c>
      <c r="D23" s="31">
        <v>2</v>
      </c>
    </row>
    <row r="24" spans="1:4" ht="15.75" thickBot="1">
      <c r="A24" s="5" t="s">
        <v>30</v>
      </c>
      <c r="B24" s="16"/>
      <c r="C24" s="7" t="s">
        <v>128</v>
      </c>
      <c r="D24" s="18">
        <f>D22/8*(D23)</f>
        <v>925.95240431777768</v>
      </c>
    </row>
    <row r="25" spans="1:4" ht="15.75" thickBot="1">
      <c r="A25" s="7" t="s">
        <v>31</v>
      </c>
      <c r="B25" s="17">
        <f>D13*B23</f>
        <v>206.25</v>
      </c>
      <c r="C25" s="13" t="s">
        <v>32</v>
      </c>
      <c r="D25" s="11">
        <f>D24/D13</f>
        <v>1.8519048086355554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49</v>
      </c>
    </row>
    <row r="27" spans="1:4">
      <c r="A27" s="10"/>
      <c r="B27" s="20"/>
      <c r="C27" s="7" t="s">
        <v>130</v>
      </c>
      <c r="D27" s="8">
        <f>RESUMO!I3</f>
        <v>0</v>
      </c>
    </row>
    <row r="28" spans="1:4">
      <c r="A28" s="10"/>
      <c r="B28" s="20"/>
      <c r="C28" s="7" t="s">
        <v>35</v>
      </c>
      <c r="D28" s="28">
        <v>800</v>
      </c>
    </row>
    <row r="29" spans="1:4">
      <c r="A29" s="10"/>
      <c r="B29" s="20"/>
      <c r="C29" s="7" t="s">
        <v>52</v>
      </c>
      <c r="D29" s="28">
        <v>700</v>
      </c>
    </row>
    <row r="30" spans="1:4">
      <c r="A30" s="10"/>
      <c r="B30" s="20"/>
      <c r="C30" s="7" t="s">
        <v>36</v>
      </c>
      <c r="D30" s="28">
        <v>150</v>
      </c>
    </row>
    <row r="31" spans="1:4">
      <c r="A31" s="10"/>
      <c r="B31" s="20"/>
      <c r="C31" s="7" t="s">
        <v>37</v>
      </c>
      <c r="D31" s="28">
        <v>1400</v>
      </c>
    </row>
    <row r="32" spans="1:4">
      <c r="A32" s="10"/>
      <c r="B32" s="20"/>
      <c r="C32" s="7" t="s">
        <v>38</v>
      </c>
      <c r="D32" s="8">
        <f>SUM(D27:D31)</f>
        <v>3050</v>
      </c>
    </row>
    <row r="33" spans="1:4" ht="15.75" thickBot="1">
      <c r="A33" s="10"/>
      <c r="B33" s="20"/>
      <c r="C33" s="10" t="s">
        <v>39</v>
      </c>
      <c r="D33" s="11">
        <f>(D32/10)/D13</f>
        <v>0.61</v>
      </c>
    </row>
    <row r="34" spans="1:4" ht="16.5" thickTop="1" thickBot="1">
      <c r="A34" s="21" t="s">
        <v>40</v>
      </c>
      <c r="B34" s="22">
        <f>B23+B17+B11+B26</f>
        <v>2.1004999999999998</v>
      </c>
      <c r="C34" s="21" t="s">
        <v>41</v>
      </c>
      <c r="D34" s="22">
        <f>D33+D25+D14</f>
        <v>3.0952381419688888</v>
      </c>
    </row>
    <row r="35" spans="1:4" ht="16.5" thickTop="1" thickBot="1">
      <c r="A35" s="23" t="s">
        <v>42</v>
      </c>
      <c r="B35" s="24"/>
      <c r="C35" s="25"/>
      <c r="D35" s="26">
        <f>D34+B34</f>
        <v>5.1957381419688886</v>
      </c>
    </row>
    <row r="36" spans="1:4" ht="16.5" thickTop="1" thickBot="1">
      <c r="A36" s="23" t="s">
        <v>43</v>
      </c>
      <c r="B36" s="24"/>
      <c r="C36" s="25"/>
      <c r="D36" s="28">
        <v>20</v>
      </c>
    </row>
    <row r="37" spans="1:4" ht="16.5" thickTop="1" thickBot="1">
      <c r="A37" s="23" t="s">
        <v>44</v>
      </c>
      <c r="B37" s="24"/>
      <c r="C37" s="25"/>
      <c r="D37" s="27">
        <f>D35/100*D36+D35</f>
        <v>6.2348857703626663</v>
      </c>
    </row>
    <row r="38" spans="1:4" ht="15.75" thickTop="1">
      <c r="A38" s="1"/>
      <c r="B38" s="1"/>
      <c r="C38" s="1"/>
      <c r="D38" s="1"/>
    </row>
  </sheetData>
  <sheetProtection sheet="1" objects="1" scenarios="1"/>
  <customSheetViews>
    <customSheetView guid="{BD108985-86A0-4B5F-92C9-20C78F86C30A}">
      <selection activeCell="D14" sqref="D14"/>
      <pageMargins left="0.511811024" right="0.511811024" top="0.78740157499999996" bottom="0.78740157499999996" header="0.31496062000000002" footer="0.31496062000000002"/>
      <pageSetup paperSize="9" orientation="portrait" verticalDpi="0" r:id="rId1"/>
    </customSheetView>
  </customSheetViews>
  <mergeCells count="5">
    <mergeCell ref="A1:D1"/>
    <mergeCell ref="A2:D2"/>
    <mergeCell ref="A3:D3"/>
    <mergeCell ref="A4:D4"/>
    <mergeCell ref="A5:D6"/>
  </mergeCells>
  <pageMargins left="0.511811024" right="0.511811024" top="0.78740157499999996" bottom="0.78740157499999996" header="0.31496062000000002" footer="0.31496062000000002"/>
  <pageSetup paperSize="9" orientation="portrait" verticalDpi="0"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/>
  </sheetPr>
  <dimension ref="A1:D38"/>
  <sheetViews>
    <sheetView topLeftCell="A10" workbookViewId="0">
      <selection activeCell="C37" sqref="C37"/>
    </sheetView>
  </sheetViews>
  <sheetFormatPr defaultRowHeight="15"/>
  <cols>
    <col min="1" max="1" width="32.85546875" bestFit="1" customWidth="1"/>
    <col min="2" max="2" width="13.140625" customWidth="1"/>
    <col min="3" max="3" width="30.140625" bestFit="1" customWidth="1"/>
    <col min="4" max="4" width="14.85546875" customWidth="1"/>
  </cols>
  <sheetData>
    <row r="1" spans="1:4" ht="24.75" thickTop="1" thickBot="1">
      <c r="A1" s="50" t="s">
        <v>0</v>
      </c>
      <c r="B1" s="50"/>
      <c r="C1" s="50"/>
      <c r="D1" s="50"/>
    </row>
    <row r="2" spans="1:4" ht="24.75" thickTop="1" thickBot="1">
      <c r="A2" s="51" t="s">
        <v>50</v>
      </c>
      <c r="B2" s="52"/>
      <c r="C2" s="52"/>
      <c r="D2" s="53"/>
    </row>
    <row r="3" spans="1:4" ht="24.75" thickTop="1" thickBot="1">
      <c r="A3" s="51" t="s">
        <v>64</v>
      </c>
      <c r="B3" s="52"/>
      <c r="C3" s="52"/>
      <c r="D3" s="53"/>
    </row>
    <row r="4" spans="1:4" ht="24.75" thickTop="1" thickBot="1">
      <c r="A4" s="60"/>
      <c r="B4" s="60"/>
      <c r="C4" s="60"/>
      <c r="D4" s="60"/>
    </row>
    <row r="5" spans="1:4" ht="15.75" thickTop="1">
      <c r="A5" s="54" t="s">
        <v>67</v>
      </c>
      <c r="B5" s="55"/>
      <c r="C5" s="55"/>
      <c r="D5" s="56"/>
    </row>
    <row r="6" spans="1:4" ht="15.75" thickBot="1">
      <c r="A6" s="57"/>
      <c r="B6" s="58"/>
      <c r="C6" s="58"/>
      <c r="D6" s="59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18">
        <f>RESUMO!C3</f>
        <v>6.29</v>
      </c>
      <c r="C9" s="9" t="s">
        <v>6</v>
      </c>
      <c r="D9" s="28">
        <v>95000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1.258</v>
      </c>
      <c r="C11" s="9" t="s">
        <v>45</v>
      </c>
      <c r="D11" s="8">
        <f>D9/100*D10</f>
        <v>3800</v>
      </c>
    </row>
    <row r="12" spans="1:4" ht="15.75" thickBot="1">
      <c r="A12" s="10" t="s">
        <v>46</v>
      </c>
      <c r="B12" s="28">
        <f>32.5*2</f>
        <v>65</v>
      </c>
      <c r="C12" s="9" t="s">
        <v>10</v>
      </c>
      <c r="D12" s="8">
        <f>D11/12</f>
        <v>316.66666666666669</v>
      </c>
    </row>
    <row r="13" spans="1:4" ht="15.75" thickBot="1">
      <c r="A13" s="5" t="s">
        <v>11</v>
      </c>
      <c r="B13" s="29"/>
      <c r="C13" s="9" t="s">
        <v>47</v>
      </c>
      <c r="D13" s="12">
        <f>B12*RESUMO!C4</f>
        <v>1300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0.24358974358974361</v>
      </c>
    </row>
    <row r="15" spans="1:4">
      <c r="A15" s="7" t="s">
        <v>48</v>
      </c>
      <c r="B15" s="30">
        <v>7</v>
      </c>
      <c r="C15" s="15" t="s">
        <v>14</v>
      </c>
      <c r="D15" s="16"/>
    </row>
    <row r="16" spans="1:4">
      <c r="A16" s="7" t="s">
        <v>15</v>
      </c>
      <c r="B16" s="28">
        <v>10000</v>
      </c>
      <c r="C16" s="9" t="s">
        <v>16</v>
      </c>
      <c r="D16" s="37">
        <f>RESUMO!G3</f>
        <v>2495.0813289999996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207.92344408333329</v>
      </c>
    </row>
    <row r="18" spans="1:4">
      <c r="A18" s="5" t="s">
        <v>19</v>
      </c>
      <c r="B18" s="8"/>
      <c r="C18" s="9" t="s">
        <v>20</v>
      </c>
      <c r="D18" s="18">
        <f>D16/12</f>
        <v>207.92344408333329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69.307814694444431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199.60650631999997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523.96707908999986</v>
      </c>
    </row>
    <row r="22" spans="1:4" ht="15.75" thickBot="1">
      <c r="A22" s="7" t="s">
        <v>27</v>
      </c>
      <c r="B22" s="28">
        <v>8000</v>
      </c>
      <c r="C22" s="7" t="s">
        <v>28</v>
      </c>
      <c r="D22" s="18">
        <f>D16+D17+D18+D19+D20+D21</f>
        <v>3703.8096172711107</v>
      </c>
    </row>
    <row r="23" spans="1:4" ht="15.75" thickBot="1">
      <c r="A23" s="10" t="s">
        <v>29</v>
      </c>
      <c r="B23" s="11">
        <f>B21/B22</f>
        <v>0.41249999999999998</v>
      </c>
      <c r="C23" s="7" t="s">
        <v>124</v>
      </c>
      <c r="D23" s="31">
        <v>6.5</v>
      </c>
    </row>
    <row r="24" spans="1:4" ht="15.75" thickBot="1">
      <c r="A24" s="5" t="s">
        <v>30</v>
      </c>
      <c r="B24" s="16"/>
      <c r="C24" s="7" t="s">
        <v>128</v>
      </c>
      <c r="D24" s="18">
        <f>D22/8*(D23)</f>
        <v>3009.3453140327774</v>
      </c>
    </row>
    <row r="25" spans="1:4" ht="15.75" thickBot="1">
      <c r="A25" s="7" t="s">
        <v>31</v>
      </c>
      <c r="B25" s="17">
        <f>D13*B23</f>
        <v>536.25</v>
      </c>
      <c r="C25" s="13" t="s">
        <v>32</v>
      </c>
      <c r="D25" s="11">
        <f>D24/D13</f>
        <v>2.3148810107944442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49</v>
      </c>
    </row>
    <row r="27" spans="1:4">
      <c r="A27" s="10"/>
      <c r="B27" s="20"/>
      <c r="C27" s="7" t="s">
        <v>130</v>
      </c>
      <c r="D27" s="8">
        <f>RESUMO!I3</f>
        <v>0</v>
      </c>
    </row>
    <row r="28" spans="1:4">
      <c r="A28" s="10"/>
      <c r="B28" s="20"/>
      <c r="C28" s="7" t="s">
        <v>35</v>
      </c>
      <c r="D28" s="28">
        <v>800</v>
      </c>
    </row>
    <row r="29" spans="1:4">
      <c r="A29" s="10"/>
      <c r="B29" s="20"/>
      <c r="C29" s="7" t="s">
        <v>52</v>
      </c>
      <c r="D29" s="28">
        <v>700</v>
      </c>
    </row>
    <row r="30" spans="1:4">
      <c r="A30" s="10"/>
      <c r="B30" s="20"/>
      <c r="C30" s="7" t="s">
        <v>36</v>
      </c>
      <c r="D30" s="28">
        <v>150</v>
      </c>
    </row>
    <row r="31" spans="1:4">
      <c r="A31" s="10"/>
      <c r="B31" s="20"/>
      <c r="C31" s="7" t="s">
        <v>37</v>
      </c>
      <c r="D31" s="28">
        <v>1600</v>
      </c>
    </row>
    <row r="32" spans="1:4">
      <c r="A32" s="10"/>
      <c r="B32" s="20"/>
      <c r="C32" s="7" t="s">
        <v>38</v>
      </c>
      <c r="D32" s="8">
        <f>SUM(D27:D31)</f>
        <v>3250</v>
      </c>
    </row>
    <row r="33" spans="1:4" ht="15.75" thickBot="1">
      <c r="A33" s="10"/>
      <c r="B33" s="20"/>
      <c r="C33" s="10" t="s">
        <v>39</v>
      </c>
      <c r="D33" s="11">
        <f>(D32/10)/D13</f>
        <v>0.25</v>
      </c>
    </row>
    <row r="34" spans="1:4" ht="16.5" thickTop="1" thickBot="1">
      <c r="A34" s="21" t="s">
        <v>40</v>
      </c>
      <c r="B34" s="22">
        <f>B23+B17+B11+B26</f>
        <v>2.1004999999999998</v>
      </c>
      <c r="C34" s="21" t="s">
        <v>41</v>
      </c>
      <c r="D34" s="22">
        <f>D33+D25+D14</f>
        <v>2.8084707543841878</v>
      </c>
    </row>
    <row r="35" spans="1:4" ht="16.5" thickTop="1" thickBot="1">
      <c r="A35" s="23" t="s">
        <v>42</v>
      </c>
      <c r="B35" s="24"/>
      <c r="C35" s="25"/>
      <c r="D35" s="26">
        <f>D34+B34</f>
        <v>4.9089707543841872</v>
      </c>
    </row>
    <row r="36" spans="1:4" ht="16.5" thickTop="1" thickBot="1">
      <c r="A36" s="23" t="s">
        <v>43</v>
      </c>
      <c r="B36" s="24"/>
      <c r="C36" s="25"/>
      <c r="D36" s="28">
        <v>20</v>
      </c>
    </row>
    <row r="37" spans="1:4" ht="16.5" thickTop="1" thickBot="1">
      <c r="A37" s="23" t="s">
        <v>44</v>
      </c>
      <c r="B37" s="24"/>
      <c r="C37" s="25"/>
      <c r="D37" s="27">
        <f>D35/100*D36+D35</f>
        <v>5.8907649052610243</v>
      </c>
    </row>
    <row r="38" spans="1:4" ht="15.75" thickTop="1">
      <c r="A38" s="1"/>
      <c r="B38" s="1"/>
      <c r="C38" s="1"/>
      <c r="D38" s="1"/>
    </row>
  </sheetData>
  <sheetProtection sheet="1" objects="1" scenarios="1"/>
  <customSheetViews>
    <customSheetView guid="{BD108985-86A0-4B5F-92C9-20C78F86C30A}">
      <selection activeCell="D14" sqref="D14"/>
      <pageMargins left="0.511811024" right="0.511811024" top="0.78740157499999996" bottom="0.78740157499999996" header="0.31496062000000002" footer="0.31496062000000002"/>
      <pageSetup paperSize="9" orientation="portrait" verticalDpi="0" r:id="rId1"/>
    </customSheetView>
  </customSheetViews>
  <mergeCells count="5">
    <mergeCell ref="A1:D1"/>
    <mergeCell ref="A2:D2"/>
    <mergeCell ref="A3:D3"/>
    <mergeCell ref="A4:D4"/>
    <mergeCell ref="A5:D6"/>
  </mergeCells>
  <pageMargins left="0.511811024" right="0.511811024" top="0.78740157499999996" bottom="0.78740157499999996" header="0.31496062000000002" footer="0.31496062000000002"/>
  <pageSetup paperSize="9" orientation="portrait" verticalDpi="0"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/>
  </sheetPr>
  <dimension ref="A1:D38"/>
  <sheetViews>
    <sheetView topLeftCell="A4" workbookViewId="0">
      <selection activeCell="D29" sqref="D29"/>
    </sheetView>
  </sheetViews>
  <sheetFormatPr defaultRowHeight="15"/>
  <cols>
    <col min="1" max="1" width="32.85546875" bestFit="1" customWidth="1"/>
    <col min="2" max="2" width="11.85546875" customWidth="1"/>
    <col min="3" max="3" width="30.140625" bestFit="1" customWidth="1"/>
    <col min="4" max="4" width="16" customWidth="1"/>
  </cols>
  <sheetData>
    <row r="1" spans="1:4" ht="24.75" thickTop="1" thickBot="1">
      <c r="A1" s="50" t="s">
        <v>0</v>
      </c>
      <c r="B1" s="50"/>
      <c r="C1" s="50"/>
      <c r="D1" s="50"/>
    </row>
    <row r="2" spans="1:4" ht="24.75" thickTop="1" thickBot="1">
      <c r="A2" s="51" t="s">
        <v>50</v>
      </c>
      <c r="B2" s="52"/>
      <c r="C2" s="52"/>
      <c r="D2" s="53"/>
    </row>
    <row r="3" spans="1:4" ht="24.75" thickTop="1" thickBot="1">
      <c r="A3" s="51" t="s">
        <v>66</v>
      </c>
      <c r="B3" s="52"/>
      <c r="C3" s="52"/>
      <c r="D3" s="53"/>
    </row>
    <row r="4" spans="1:4" ht="24.75" thickTop="1" thickBot="1">
      <c r="A4" s="60"/>
      <c r="B4" s="60"/>
      <c r="C4" s="60"/>
      <c r="D4" s="60"/>
    </row>
    <row r="5" spans="1:4" ht="15.75" thickTop="1">
      <c r="A5" s="54" t="s">
        <v>67</v>
      </c>
      <c r="B5" s="55"/>
      <c r="C5" s="55"/>
      <c r="D5" s="56"/>
    </row>
    <row r="6" spans="1:4" ht="15.75" thickBot="1">
      <c r="A6" s="57"/>
      <c r="B6" s="58"/>
      <c r="C6" s="58"/>
      <c r="D6" s="59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18">
        <f>RESUMO!C3</f>
        <v>6.29</v>
      </c>
      <c r="C9" s="9" t="s">
        <v>6</v>
      </c>
      <c r="D9" s="28">
        <v>95000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1.258</v>
      </c>
      <c r="C11" s="9" t="s">
        <v>45</v>
      </c>
      <c r="D11" s="8">
        <f>D9/100*D10</f>
        <v>3800</v>
      </c>
    </row>
    <row r="12" spans="1:4" ht="15.75" thickBot="1">
      <c r="A12" s="10" t="s">
        <v>46</v>
      </c>
      <c r="B12" s="28">
        <f>30*2</f>
        <v>60</v>
      </c>
      <c r="C12" s="9" t="s">
        <v>10</v>
      </c>
      <c r="D12" s="8">
        <f>D11/12</f>
        <v>316.66666666666669</v>
      </c>
    </row>
    <row r="13" spans="1:4" ht="15.75" thickBot="1">
      <c r="A13" s="5" t="s">
        <v>11</v>
      </c>
      <c r="B13" s="29"/>
      <c r="C13" s="9" t="s">
        <v>47</v>
      </c>
      <c r="D13" s="12">
        <f>B12*RESUMO!C4</f>
        <v>1200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0.2638888888888889</v>
      </c>
    </row>
    <row r="15" spans="1:4">
      <c r="A15" s="7" t="s">
        <v>48</v>
      </c>
      <c r="B15" s="30">
        <v>7</v>
      </c>
      <c r="C15" s="15" t="s">
        <v>14</v>
      </c>
      <c r="D15" s="16"/>
    </row>
    <row r="16" spans="1:4">
      <c r="A16" s="7" t="s">
        <v>15</v>
      </c>
      <c r="B16" s="28">
        <v>10000</v>
      </c>
      <c r="C16" s="9" t="s">
        <v>16</v>
      </c>
      <c r="D16" s="37">
        <f>RESUMO!G3</f>
        <v>2495.0813289999996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207.92344408333329</v>
      </c>
    </row>
    <row r="18" spans="1:4">
      <c r="A18" s="5" t="s">
        <v>19</v>
      </c>
      <c r="B18" s="8"/>
      <c r="C18" s="9" t="s">
        <v>20</v>
      </c>
      <c r="D18" s="18">
        <f>D16/12</f>
        <v>207.92344408333329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69.307814694444431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199.60650631999997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523.96707908999986</v>
      </c>
    </row>
    <row r="22" spans="1:4" ht="15.75" thickBot="1">
      <c r="A22" s="7" t="s">
        <v>27</v>
      </c>
      <c r="B22" s="28">
        <v>8000</v>
      </c>
      <c r="C22" s="7" t="s">
        <v>28</v>
      </c>
      <c r="D22" s="18">
        <f>D16+D17+D18+D19+D20+D21</f>
        <v>3703.8096172711107</v>
      </c>
    </row>
    <row r="23" spans="1:4" ht="15.75" thickBot="1">
      <c r="A23" s="10" t="s">
        <v>29</v>
      </c>
      <c r="B23" s="11">
        <f>B21/B22</f>
        <v>0.41249999999999998</v>
      </c>
      <c r="C23" s="7" t="s">
        <v>124</v>
      </c>
      <c r="D23" s="31">
        <v>7</v>
      </c>
    </row>
    <row r="24" spans="1:4" ht="15.75" thickBot="1">
      <c r="A24" s="5" t="s">
        <v>30</v>
      </c>
      <c r="B24" s="16"/>
      <c r="C24" s="36" t="s">
        <v>127</v>
      </c>
      <c r="D24" s="18">
        <f>D22/8*(D23)</f>
        <v>3240.8334151122217</v>
      </c>
    </row>
    <row r="25" spans="1:4" ht="15.75" thickBot="1">
      <c r="A25" s="7" t="s">
        <v>31</v>
      </c>
      <c r="B25" s="17">
        <f>D13*B23</f>
        <v>495</v>
      </c>
      <c r="C25" s="13" t="s">
        <v>32</v>
      </c>
      <c r="D25" s="11">
        <f>D24/D13</f>
        <v>2.7006945125935182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49</v>
      </c>
    </row>
    <row r="27" spans="1:4">
      <c r="A27" s="10"/>
      <c r="B27" s="20"/>
      <c r="C27" s="7" t="s">
        <v>130</v>
      </c>
      <c r="D27" s="8">
        <f>RESUMO!I3</f>
        <v>0</v>
      </c>
    </row>
    <row r="28" spans="1:4">
      <c r="A28" s="10"/>
      <c r="B28" s="20"/>
      <c r="C28" s="7" t="s">
        <v>35</v>
      </c>
      <c r="D28" s="28">
        <v>800</v>
      </c>
    </row>
    <row r="29" spans="1:4">
      <c r="A29" s="10"/>
      <c r="B29" s="20"/>
      <c r="C29" s="7" t="s">
        <v>52</v>
      </c>
      <c r="D29" s="28">
        <v>700</v>
      </c>
    </row>
    <row r="30" spans="1:4">
      <c r="A30" s="10"/>
      <c r="B30" s="20"/>
      <c r="C30" s="7" t="s">
        <v>36</v>
      </c>
      <c r="D30" s="28">
        <v>150</v>
      </c>
    </row>
    <row r="31" spans="1:4">
      <c r="A31" s="10"/>
      <c r="B31" s="20"/>
      <c r="C31" s="7" t="s">
        <v>37</v>
      </c>
      <c r="D31" s="28">
        <v>1600</v>
      </c>
    </row>
    <row r="32" spans="1:4">
      <c r="A32" s="10"/>
      <c r="B32" s="20"/>
      <c r="C32" s="7" t="s">
        <v>38</v>
      </c>
      <c r="D32" s="8">
        <f>SUM(D27:D31)</f>
        <v>3250</v>
      </c>
    </row>
    <row r="33" spans="1:4" ht="15.75" thickBot="1">
      <c r="A33" s="10"/>
      <c r="B33" s="20"/>
      <c r="C33" s="10" t="s">
        <v>39</v>
      </c>
      <c r="D33" s="11">
        <f>(D32/10)/D13</f>
        <v>0.27083333333333331</v>
      </c>
    </row>
    <row r="34" spans="1:4" ht="16.5" thickTop="1" thickBot="1">
      <c r="A34" s="21" t="s">
        <v>40</v>
      </c>
      <c r="B34" s="22">
        <f>B23+B17+B11+B26</f>
        <v>2.1004999999999998</v>
      </c>
      <c r="C34" s="21" t="s">
        <v>41</v>
      </c>
      <c r="D34" s="22">
        <f>D33+D25+D14</f>
        <v>3.2354167348157405</v>
      </c>
    </row>
    <row r="35" spans="1:4" ht="16.5" thickTop="1" thickBot="1">
      <c r="A35" s="23" t="s">
        <v>42</v>
      </c>
      <c r="B35" s="24"/>
      <c r="C35" s="25"/>
      <c r="D35" s="26">
        <f>D34+B34</f>
        <v>5.3359167348157399</v>
      </c>
    </row>
    <row r="36" spans="1:4" ht="16.5" thickTop="1" thickBot="1">
      <c r="A36" s="23" t="s">
        <v>43</v>
      </c>
      <c r="B36" s="24"/>
      <c r="C36" s="25"/>
      <c r="D36" s="28">
        <v>19.600000000000001</v>
      </c>
    </row>
    <row r="37" spans="1:4" ht="16.5" thickTop="1" thickBot="1">
      <c r="A37" s="23" t="s">
        <v>44</v>
      </c>
      <c r="B37" s="24"/>
      <c r="C37" s="25"/>
      <c r="D37" s="27">
        <f>D35/100*D36+D35</f>
        <v>6.3817564148396251</v>
      </c>
    </row>
    <row r="38" spans="1:4" ht="15.75" thickTop="1">
      <c r="A38" s="1"/>
      <c r="B38" s="1"/>
      <c r="C38" s="1"/>
      <c r="D38" s="1"/>
    </row>
  </sheetData>
  <sheetProtection sheet="1" objects="1" scenarios="1"/>
  <customSheetViews>
    <customSheetView guid="{BD108985-86A0-4B5F-92C9-20C78F86C30A}">
      <selection activeCell="D14" sqref="D14"/>
      <pageMargins left="0.511811024" right="0.511811024" top="0.78740157499999996" bottom="0.78740157499999996" header="0.31496062000000002" footer="0.31496062000000002"/>
      <pageSetup paperSize="9" orientation="portrait" verticalDpi="0" r:id="rId1"/>
    </customSheetView>
  </customSheetViews>
  <mergeCells count="5">
    <mergeCell ref="A1:D1"/>
    <mergeCell ref="A2:D2"/>
    <mergeCell ref="A3:D3"/>
    <mergeCell ref="A4:D4"/>
    <mergeCell ref="A5:D6"/>
  </mergeCells>
  <pageMargins left="0.511811024" right="0.511811024" top="0.78740157499999996" bottom="0.78740157499999996" header="0.31496062000000002" footer="0.31496062000000002"/>
  <pageSetup paperSize="9"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MK37"/>
  <sheetViews>
    <sheetView topLeftCell="A16" workbookViewId="0">
      <selection activeCell="B13" sqref="B13"/>
    </sheetView>
  </sheetViews>
  <sheetFormatPr defaultRowHeight="15"/>
  <cols>
    <col min="1" max="1" width="33.140625" style="1" customWidth="1"/>
    <col min="2" max="2" width="12.7109375" style="1" customWidth="1"/>
    <col min="3" max="3" width="34.28515625" style="1" customWidth="1"/>
    <col min="4" max="4" width="11" style="1" customWidth="1"/>
    <col min="5" max="1025" width="9.140625" style="1" customWidth="1"/>
  </cols>
  <sheetData>
    <row r="1" spans="1:6" ht="24.75" thickTop="1" thickBot="1">
      <c r="A1" s="50" t="s">
        <v>0</v>
      </c>
      <c r="B1" s="50"/>
      <c r="C1" s="50"/>
      <c r="D1" s="50"/>
    </row>
    <row r="2" spans="1:6" ht="24.75" thickTop="1" thickBot="1">
      <c r="A2" s="51" t="s">
        <v>50</v>
      </c>
      <c r="B2" s="52"/>
      <c r="C2" s="52"/>
      <c r="D2" s="53"/>
    </row>
    <row r="3" spans="1:6" ht="24.75" thickTop="1" thickBot="1">
      <c r="A3" s="51" t="s">
        <v>51</v>
      </c>
      <c r="B3" s="52"/>
      <c r="C3" s="52"/>
      <c r="D3" s="53"/>
    </row>
    <row r="4" spans="1:6" ht="24.75" customHeight="1" thickTop="1">
      <c r="A4" s="54" t="s">
        <v>67</v>
      </c>
      <c r="B4" s="55"/>
      <c r="C4" s="55"/>
      <c r="D4" s="56"/>
    </row>
    <row r="5" spans="1:6" ht="15.75" thickBot="1">
      <c r="A5" s="57"/>
      <c r="B5" s="58"/>
      <c r="C5" s="58"/>
      <c r="D5" s="59"/>
    </row>
    <row r="6" spans="1:6" ht="16.5" thickTop="1" thickBot="1">
      <c r="A6" s="49"/>
      <c r="B6" s="49"/>
      <c r="C6" s="49"/>
      <c r="D6" s="49"/>
    </row>
    <row r="7" spans="1:6">
      <c r="A7" s="2" t="s">
        <v>1</v>
      </c>
      <c r="B7" s="3"/>
      <c r="C7" s="4" t="s">
        <v>2</v>
      </c>
      <c r="D7" s="3"/>
    </row>
    <row r="8" spans="1:6">
      <c r="A8" s="5" t="s">
        <v>3</v>
      </c>
      <c r="B8" s="3"/>
      <c r="C8" s="6" t="s">
        <v>4</v>
      </c>
      <c r="D8" s="3"/>
    </row>
    <row r="9" spans="1:6">
      <c r="A9" s="7" t="s">
        <v>5</v>
      </c>
      <c r="B9" s="11">
        <f>RESUMO!C3</f>
        <v>6.29</v>
      </c>
      <c r="C9" s="9" t="s">
        <v>6</v>
      </c>
      <c r="D9" s="28">
        <v>95000</v>
      </c>
    </row>
    <row r="10" spans="1:6">
      <c r="A10" s="7" t="s">
        <v>7</v>
      </c>
      <c r="B10" s="28">
        <v>5</v>
      </c>
      <c r="C10" s="9" t="s">
        <v>8</v>
      </c>
      <c r="D10" s="28">
        <v>4</v>
      </c>
    </row>
    <row r="11" spans="1:6">
      <c r="A11" s="10" t="s">
        <v>9</v>
      </c>
      <c r="B11" s="11">
        <f>B9/B10</f>
        <v>1.258</v>
      </c>
      <c r="C11" s="9" t="s">
        <v>45</v>
      </c>
      <c r="D11" s="8">
        <f>D9/100*D10</f>
        <v>3800</v>
      </c>
    </row>
    <row r="12" spans="1:6">
      <c r="A12" s="10" t="s">
        <v>46</v>
      </c>
      <c r="B12" s="28">
        <v>103</v>
      </c>
      <c r="C12" s="9" t="s">
        <v>10</v>
      </c>
      <c r="D12" s="8">
        <f>D11/12</f>
        <v>316.66666666666669</v>
      </c>
    </row>
    <row r="13" spans="1:6">
      <c r="A13" s="5" t="s">
        <v>11</v>
      </c>
      <c r="B13" s="29"/>
      <c r="C13" s="9" t="s">
        <v>47</v>
      </c>
      <c r="D13" s="12">
        <f>B12*RESUMO!C4</f>
        <v>2060</v>
      </c>
    </row>
    <row r="14" spans="1:6">
      <c r="A14" s="7" t="s">
        <v>12</v>
      </c>
      <c r="B14" s="28">
        <v>25</v>
      </c>
      <c r="C14" s="13" t="s">
        <v>13</v>
      </c>
      <c r="D14" s="11">
        <f>D12/D13</f>
        <v>0.15372168284789645</v>
      </c>
      <c r="F14" s="14"/>
    </row>
    <row r="15" spans="1:6">
      <c r="A15" s="7" t="s">
        <v>48</v>
      </c>
      <c r="B15" s="30">
        <v>7</v>
      </c>
      <c r="C15" s="15" t="s">
        <v>14</v>
      </c>
      <c r="D15" s="16"/>
    </row>
    <row r="16" spans="1:6">
      <c r="A16" s="7" t="s">
        <v>15</v>
      </c>
      <c r="B16" s="28">
        <v>10000</v>
      </c>
      <c r="C16" s="9" t="s">
        <v>16</v>
      </c>
      <c r="D16" s="37">
        <f>RESUMO!G3</f>
        <v>2495.0813289999996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207.92344408333329</v>
      </c>
    </row>
    <row r="18" spans="1:4">
      <c r="A18" s="5" t="s">
        <v>19</v>
      </c>
      <c r="B18" s="8"/>
      <c r="C18" s="9" t="s">
        <v>20</v>
      </c>
      <c r="D18" s="18">
        <f>D16/12</f>
        <v>207.92344408333329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69.307814694444431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199.60650631999997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523.96707908999986</v>
      </c>
    </row>
    <row r="22" spans="1:4" ht="15.75" thickBot="1">
      <c r="A22" s="7" t="s">
        <v>27</v>
      </c>
      <c r="B22" s="28">
        <v>8000</v>
      </c>
      <c r="C22" s="7" t="s">
        <v>28</v>
      </c>
      <c r="D22" s="18">
        <f>D16+D17+D18+D19+D20+D21</f>
        <v>3703.8096172711107</v>
      </c>
    </row>
    <row r="23" spans="1:4" ht="15.75" thickBot="1">
      <c r="A23" s="10" t="s">
        <v>29</v>
      </c>
      <c r="B23" s="11">
        <f>B21/B22</f>
        <v>0.41249999999999998</v>
      </c>
      <c r="C23" s="7" t="s">
        <v>124</v>
      </c>
      <c r="D23" s="31">
        <v>8</v>
      </c>
    </row>
    <row r="24" spans="1:4" ht="15.75" thickBot="1">
      <c r="A24" s="5" t="s">
        <v>30</v>
      </c>
      <c r="B24" s="16"/>
      <c r="C24" s="7" t="s">
        <v>128</v>
      </c>
      <c r="D24" s="18">
        <f>D22/8*(D23)</f>
        <v>3703.8096172711107</v>
      </c>
    </row>
    <row r="25" spans="1:4" ht="15.75" thickBot="1">
      <c r="A25" s="7" t="s">
        <v>31</v>
      </c>
      <c r="B25" s="17">
        <f>D13*B23</f>
        <v>849.75</v>
      </c>
      <c r="C25" s="13" t="s">
        <v>32</v>
      </c>
      <c r="D25" s="11">
        <f>D24/D13</f>
        <v>1.7979658336267528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49</v>
      </c>
    </row>
    <row r="27" spans="1:4">
      <c r="A27" s="10"/>
      <c r="B27" s="20"/>
      <c r="C27" s="7" t="s">
        <v>130</v>
      </c>
      <c r="D27" s="8">
        <f>RESUMO!I3</f>
        <v>0</v>
      </c>
    </row>
    <row r="28" spans="1:4">
      <c r="A28" s="10"/>
      <c r="B28" s="20"/>
      <c r="C28" s="7" t="s">
        <v>35</v>
      </c>
      <c r="D28" s="28">
        <v>800</v>
      </c>
    </row>
    <row r="29" spans="1:4">
      <c r="A29" s="10"/>
      <c r="B29" s="20"/>
      <c r="C29" s="7" t="s">
        <v>52</v>
      </c>
      <c r="D29" s="28">
        <v>700</v>
      </c>
    </row>
    <row r="30" spans="1:4">
      <c r="A30" s="10"/>
      <c r="B30" s="20"/>
      <c r="C30" s="7" t="s">
        <v>36</v>
      </c>
      <c r="D30" s="28">
        <v>150</v>
      </c>
    </row>
    <row r="31" spans="1:4">
      <c r="A31" s="10"/>
      <c r="B31" s="20"/>
      <c r="C31" s="7" t="s">
        <v>37</v>
      </c>
      <c r="D31" s="28">
        <v>1600</v>
      </c>
    </row>
    <row r="32" spans="1:4">
      <c r="A32" s="10"/>
      <c r="B32" s="20"/>
      <c r="C32" s="7" t="s">
        <v>38</v>
      </c>
      <c r="D32" s="8">
        <f>SUM(D27:D31)</f>
        <v>3250</v>
      </c>
    </row>
    <row r="33" spans="1:4" ht="15.75" thickBot="1">
      <c r="A33" s="10"/>
      <c r="B33" s="20"/>
      <c r="C33" s="10" t="s">
        <v>39</v>
      </c>
      <c r="D33" s="11">
        <f>(D32/10)/D13</f>
        <v>0.15776699029126215</v>
      </c>
    </row>
    <row r="34" spans="1:4" ht="16.5" thickTop="1" thickBot="1">
      <c r="A34" s="21" t="s">
        <v>40</v>
      </c>
      <c r="B34" s="22">
        <f>B23+B17+B11+B26</f>
        <v>2.1004999999999998</v>
      </c>
      <c r="C34" s="21" t="s">
        <v>41</v>
      </c>
      <c r="D34" s="22">
        <f>D33+D25+D14</f>
        <v>2.1094545067659114</v>
      </c>
    </row>
    <row r="35" spans="1:4" ht="16.5" thickTop="1" thickBot="1">
      <c r="A35" s="23" t="s">
        <v>42</v>
      </c>
      <c r="B35" s="24"/>
      <c r="C35" s="25"/>
      <c r="D35" s="26">
        <f>D34+B34</f>
        <v>4.2099545067659108</v>
      </c>
    </row>
    <row r="36" spans="1:4" ht="16.5" thickTop="1" thickBot="1">
      <c r="A36" s="23" t="s">
        <v>43</v>
      </c>
      <c r="B36" s="24"/>
      <c r="C36" s="25"/>
      <c r="D36" s="28">
        <v>20</v>
      </c>
    </row>
    <row r="37" spans="1:4" ht="16.5" thickTop="1" thickBot="1">
      <c r="A37" s="23" t="s">
        <v>44</v>
      </c>
      <c r="B37" s="24"/>
      <c r="C37" s="25"/>
      <c r="D37" s="27">
        <f>D35/100*D36+D35</f>
        <v>5.0519454081190931</v>
      </c>
    </row>
  </sheetData>
  <sheetProtection sheet="1" objects="1" scenarios="1"/>
  <customSheetViews>
    <customSheetView guid="{BD108985-86A0-4B5F-92C9-20C78F86C30A}">
      <selection activeCell="D14" sqref="D14"/>
      <pageMargins left="0.51180555555555496" right="0.51180555555555496" top="0.78749999999999998" bottom="0.78749999999999998" header="0.51180555555555496" footer="0.51180555555555496"/>
      <pageSetup paperSize="9" firstPageNumber="0" orientation="portrait" verticalDpi="360" r:id="rId1"/>
    </customSheetView>
  </customSheetViews>
  <mergeCells count="5">
    <mergeCell ref="A6:D6"/>
    <mergeCell ref="A1:D1"/>
    <mergeCell ref="A2:D2"/>
    <mergeCell ref="A3:D3"/>
    <mergeCell ref="A4:D5"/>
  </mergeCells>
  <pageMargins left="0.51180555555555496" right="0.51180555555555496" top="0.78749999999999998" bottom="0.78749999999999998" header="0.51180555555555496" footer="0.51180555555555496"/>
  <pageSetup paperSize="9" firstPageNumber="0" orientation="portrait" verticalDpi="36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MK38"/>
  <sheetViews>
    <sheetView topLeftCell="A7" workbookViewId="0">
      <selection activeCell="D23" sqref="D23"/>
    </sheetView>
  </sheetViews>
  <sheetFormatPr defaultRowHeight="15"/>
  <cols>
    <col min="1" max="1" width="33.140625" style="1" customWidth="1"/>
    <col min="2" max="2" width="12.7109375" style="1" customWidth="1"/>
    <col min="3" max="3" width="34.28515625" style="1" customWidth="1"/>
    <col min="4" max="4" width="11" style="1" customWidth="1"/>
    <col min="5" max="1025" width="9.140625" style="1" customWidth="1"/>
  </cols>
  <sheetData>
    <row r="1" spans="1:6" ht="24.75" thickTop="1" thickBot="1">
      <c r="A1" s="50" t="s">
        <v>0</v>
      </c>
      <c r="B1" s="50"/>
      <c r="C1" s="50"/>
      <c r="D1" s="50"/>
    </row>
    <row r="2" spans="1:6" ht="24.75" thickTop="1" thickBot="1">
      <c r="A2" s="51" t="s">
        <v>50</v>
      </c>
      <c r="B2" s="52"/>
      <c r="C2" s="52"/>
      <c r="D2" s="53"/>
    </row>
    <row r="3" spans="1:6" ht="24.75" thickTop="1" thickBot="1">
      <c r="A3" s="51" t="s">
        <v>53</v>
      </c>
      <c r="B3" s="52"/>
      <c r="C3" s="52"/>
      <c r="D3" s="53"/>
    </row>
    <row r="4" spans="1:6" ht="24.75" thickTop="1" thickBot="1">
      <c r="A4" s="60"/>
      <c r="B4" s="60"/>
      <c r="C4" s="60"/>
      <c r="D4" s="60"/>
    </row>
    <row r="5" spans="1:6" ht="15.75" thickTop="1">
      <c r="A5" s="54" t="s">
        <v>67</v>
      </c>
      <c r="B5" s="55"/>
      <c r="C5" s="55"/>
      <c r="D5" s="56"/>
    </row>
    <row r="6" spans="1:6" ht="15.75" thickBot="1">
      <c r="A6" s="57"/>
      <c r="B6" s="58"/>
      <c r="C6" s="58"/>
      <c r="D6" s="59"/>
    </row>
    <row r="7" spans="1:6" ht="15.75" thickTop="1">
      <c r="A7" s="2" t="s">
        <v>1</v>
      </c>
      <c r="B7" s="3"/>
      <c r="C7" s="4" t="s">
        <v>2</v>
      </c>
      <c r="D7" s="3"/>
    </row>
    <row r="8" spans="1:6">
      <c r="A8" s="5" t="s">
        <v>3</v>
      </c>
      <c r="B8" s="3"/>
      <c r="C8" s="6" t="s">
        <v>4</v>
      </c>
      <c r="D8" s="3"/>
    </row>
    <row r="9" spans="1:6">
      <c r="A9" s="7" t="s">
        <v>5</v>
      </c>
      <c r="B9" s="18">
        <f>RESUMO!C3</f>
        <v>6.29</v>
      </c>
      <c r="C9" s="9" t="s">
        <v>6</v>
      </c>
      <c r="D9" s="28">
        <v>95000</v>
      </c>
    </row>
    <row r="10" spans="1:6">
      <c r="A10" s="7" t="s">
        <v>7</v>
      </c>
      <c r="B10" s="28">
        <v>5</v>
      </c>
      <c r="C10" s="9" t="s">
        <v>8</v>
      </c>
      <c r="D10" s="28">
        <v>4</v>
      </c>
    </row>
    <row r="11" spans="1:6">
      <c r="A11" s="10" t="s">
        <v>9</v>
      </c>
      <c r="B11" s="11">
        <f>B9/B10</f>
        <v>1.258</v>
      </c>
      <c r="C11" s="9" t="s">
        <v>45</v>
      </c>
      <c r="D11" s="8">
        <f>D9/100*D10</f>
        <v>3800</v>
      </c>
    </row>
    <row r="12" spans="1:6" ht="15.75" thickBot="1">
      <c r="A12" s="10" t="s">
        <v>46</v>
      </c>
      <c r="B12" s="28">
        <f>50*2</f>
        <v>100</v>
      </c>
      <c r="C12" s="9" t="s">
        <v>10</v>
      </c>
      <c r="D12" s="8">
        <f>D11/12</f>
        <v>316.66666666666669</v>
      </c>
    </row>
    <row r="13" spans="1:6" ht="15.75" thickBot="1">
      <c r="A13" s="5" t="s">
        <v>11</v>
      </c>
      <c r="B13" s="29"/>
      <c r="C13" s="9" t="s">
        <v>47</v>
      </c>
      <c r="D13" s="12">
        <f>B12*RESUMO!C4</f>
        <v>2000</v>
      </c>
    </row>
    <row r="14" spans="1:6">
      <c r="A14" s="7" t="s">
        <v>12</v>
      </c>
      <c r="B14" s="28">
        <v>25</v>
      </c>
      <c r="C14" s="13" t="s">
        <v>13</v>
      </c>
      <c r="D14" s="11">
        <f>D12/D13</f>
        <v>0.15833333333333335</v>
      </c>
      <c r="F14" s="14"/>
    </row>
    <row r="15" spans="1:6">
      <c r="A15" s="7" t="s">
        <v>48</v>
      </c>
      <c r="B15" s="30">
        <v>7</v>
      </c>
      <c r="C15" s="15" t="s">
        <v>14</v>
      </c>
      <c r="D15" s="16"/>
    </row>
    <row r="16" spans="1:6">
      <c r="A16" s="7" t="s">
        <v>15</v>
      </c>
      <c r="B16" s="28">
        <v>10000</v>
      </c>
      <c r="C16" s="9" t="s">
        <v>16</v>
      </c>
      <c r="D16" s="37">
        <f>RESUMO!G3</f>
        <v>2495.0813289999996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207.92344408333329</v>
      </c>
    </row>
    <row r="18" spans="1:4">
      <c r="A18" s="5" t="s">
        <v>19</v>
      </c>
      <c r="B18" s="8"/>
      <c r="C18" s="9" t="s">
        <v>20</v>
      </c>
      <c r="D18" s="18">
        <f>D16/12</f>
        <v>207.92344408333329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69.307814694444431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199.60650631999997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523.96707908999986</v>
      </c>
    </row>
    <row r="22" spans="1:4" ht="15.75" thickBot="1">
      <c r="A22" s="7" t="s">
        <v>27</v>
      </c>
      <c r="B22" s="28">
        <v>8000</v>
      </c>
      <c r="C22" s="7" t="s">
        <v>28</v>
      </c>
      <c r="D22" s="18">
        <f>D16+D17+D18+D19+D20+D21</f>
        <v>3703.8096172711107</v>
      </c>
    </row>
    <row r="23" spans="1:4" ht="15.75" thickBot="1">
      <c r="A23" s="10" t="s">
        <v>29</v>
      </c>
      <c r="B23" s="11">
        <f>B21/B22</f>
        <v>0.41249999999999998</v>
      </c>
      <c r="C23" s="7" t="s">
        <v>124</v>
      </c>
      <c r="D23" s="31">
        <v>8</v>
      </c>
    </row>
    <row r="24" spans="1:4" ht="15.75" thickBot="1">
      <c r="A24" s="5" t="s">
        <v>30</v>
      </c>
      <c r="B24" s="16"/>
      <c r="C24" s="7" t="s">
        <v>128</v>
      </c>
      <c r="D24" s="18">
        <f>D22/8*(D23)</f>
        <v>3703.8096172711107</v>
      </c>
    </row>
    <row r="25" spans="1:4" ht="15.75" thickBot="1">
      <c r="A25" s="7" t="s">
        <v>31</v>
      </c>
      <c r="B25" s="17">
        <f>D13*B23</f>
        <v>825</v>
      </c>
      <c r="C25" s="13" t="s">
        <v>32</v>
      </c>
      <c r="D25" s="11">
        <f>D24/D13</f>
        <v>1.8519048086355554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49</v>
      </c>
    </row>
    <row r="27" spans="1:4">
      <c r="A27" s="10"/>
      <c r="B27" s="20"/>
      <c r="C27" s="7" t="s">
        <v>130</v>
      </c>
      <c r="D27" s="8">
        <f>RESUMO!I3</f>
        <v>0</v>
      </c>
    </row>
    <row r="28" spans="1:4">
      <c r="A28" s="10"/>
      <c r="B28" s="20"/>
      <c r="C28" s="7" t="s">
        <v>35</v>
      </c>
      <c r="D28" s="28">
        <v>800</v>
      </c>
    </row>
    <row r="29" spans="1:4">
      <c r="A29" s="10"/>
      <c r="B29" s="20"/>
      <c r="C29" s="7" t="s">
        <v>52</v>
      </c>
      <c r="D29" s="28">
        <v>700</v>
      </c>
    </row>
    <row r="30" spans="1:4">
      <c r="A30" s="10"/>
      <c r="B30" s="20"/>
      <c r="C30" s="7" t="s">
        <v>36</v>
      </c>
      <c r="D30" s="28">
        <v>150</v>
      </c>
    </row>
    <row r="31" spans="1:4">
      <c r="A31" s="10"/>
      <c r="B31" s="20"/>
      <c r="C31" s="7" t="s">
        <v>37</v>
      </c>
      <c r="D31" s="28">
        <v>1600</v>
      </c>
    </row>
    <row r="32" spans="1:4">
      <c r="A32" s="10"/>
      <c r="B32" s="20"/>
      <c r="C32" s="7" t="s">
        <v>38</v>
      </c>
      <c r="D32" s="8">
        <f>SUM(D27:D31)</f>
        <v>3250</v>
      </c>
    </row>
    <row r="33" spans="1:4" ht="15.75" thickBot="1">
      <c r="A33" s="10"/>
      <c r="B33" s="20"/>
      <c r="C33" s="10" t="s">
        <v>39</v>
      </c>
      <c r="D33" s="11">
        <f>(D32/10)/D13</f>
        <v>0.16250000000000001</v>
      </c>
    </row>
    <row r="34" spans="1:4" ht="16.5" thickTop="1" thickBot="1">
      <c r="A34" s="21" t="s">
        <v>40</v>
      </c>
      <c r="B34" s="22">
        <f>B23+B17+B11+B26</f>
        <v>2.1004999999999998</v>
      </c>
      <c r="C34" s="21" t="s">
        <v>41</v>
      </c>
      <c r="D34" s="22">
        <f>D33+D25+D14</f>
        <v>2.1727381419688885</v>
      </c>
    </row>
    <row r="35" spans="1:4" ht="16.5" thickTop="1" thickBot="1">
      <c r="A35" s="23" t="s">
        <v>42</v>
      </c>
      <c r="B35" s="24"/>
      <c r="C35" s="25"/>
      <c r="D35" s="26">
        <f>D34+B34</f>
        <v>4.2732381419688883</v>
      </c>
    </row>
    <row r="36" spans="1:4" ht="16.5" thickTop="1" thickBot="1">
      <c r="A36" s="23" t="s">
        <v>43</v>
      </c>
      <c r="B36" s="24"/>
      <c r="C36" s="25"/>
      <c r="D36" s="28">
        <v>20</v>
      </c>
    </row>
    <row r="37" spans="1:4" ht="16.5" thickTop="1" thickBot="1">
      <c r="A37" s="23" t="s">
        <v>44</v>
      </c>
      <c r="B37" s="24"/>
      <c r="C37" s="25"/>
      <c r="D37" s="27">
        <f>D35/100*D36+D35</f>
        <v>5.1278857703626661</v>
      </c>
    </row>
    <row r="38" spans="1:4" ht="15.75" thickTop="1"/>
  </sheetData>
  <sheetProtection sheet="1" objects="1" scenarios="1"/>
  <customSheetViews>
    <customSheetView guid="{BD108985-86A0-4B5F-92C9-20C78F86C30A}" topLeftCell="A4">
      <selection activeCell="A15" sqref="A15"/>
      <pageMargins left="0.511811024" right="0.511811024" top="0.78740157499999996" bottom="0.78740157499999996" header="0.31496062000000002" footer="0.31496062000000002"/>
      <pageSetup paperSize="9" orientation="portrait" verticalDpi="0" r:id="rId1"/>
    </customSheetView>
  </customSheetViews>
  <mergeCells count="5">
    <mergeCell ref="A1:D1"/>
    <mergeCell ref="A2:D2"/>
    <mergeCell ref="A3:D3"/>
    <mergeCell ref="A4:D4"/>
    <mergeCell ref="A5:D6"/>
  </mergeCells>
  <pageMargins left="0.511811024" right="0.511811024" top="0.78740157499999996" bottom="0.78740157499999996" header="0.31496062000000002" footer="0.31496062000000002"/>
  <pageSetup paperSize="9" orientation="portrait" verticalDpi="0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/>
  </sheetPr>
  <dimension ref="A1:D38"/>
  <sheetViews>
    <sheetView topLeftCell="A7" workbookViewId="0">
      <selection activeCell="B13" sqref="B13"/>
    </sheetView>
  </sheetViews>
  <sheetFormatPr defaultRowHeight="15"/>
  <cols>
    <col min="1" max="1" width="32.85546875" bestFit="1" customWidth="1"/>
    <col min="2" max="2" width="9.28515625" bestFit="1" customWidth="1"/>
    <col min="3" max="3" width="30.140625" bestFit="1" customWidth="1"/>
    <col min="4" max="4" width="18.85546875" customWidth="1"/>
  </cols>
  <sheetData>
    <row r="1" spans="1:4" ht="24.75" thickTop="1" thickBot="1">
      <c r="A1" s="50" t="s">
        <v>0</v>
      </c>
      <c r="B1" s="50"/>
      <c r="C1" s="50"/>
      <c r="D1" s="50"/>
    </row>
    <row r="2" spans="1:4" ht="24.75" thickTop="1" thickBot="1">
      <c r="A2" s="51" t="s">
        <v>50</v>
      </c>
      <c r="B2" s="52"/>
      <c r="C2" s="52"/>
      <c r="D2" s="53"/>
    </row>
    <row r="3" spans="1:4" ht="24.75" thickTop="1" thickBot="1">
      <c r="A3" s="51" t="s">
        <v>54</v>
      </c>
      <c r="B3" s="52"/>
      <c r="C3" s="52"/>
      <c r="D3" s="53"/>
    </row>
    <row r="4" spans="1:4" ht="24.75" thickTop="1" thickBot="1">
      <c r="A4" s="60"/>
      <c r="B4" s="60"/>
      <c r="C4" s="60"/>
      <c r="D4" s="60"/>
    </row>
    <row r="5" spans="1:4" ht="15.75" customHeight="1" thickTop="1" thickBot="1">
      <c r="A5" s="54"/>
      <c r="B5" s="55"/>
      <c r="C5" s="55"/>
      <c r="D5" s="56"/>
    </row>
    <row r="6" spans="1:4" ht="15.75" thickTop="1">
      <c r="A6" s="54" t="s">
        <v>67</v>
      </c>
      <c r="B6" s="55"/>
      <c r="C6" s="55"/>
      <c r="D6" s="56"/>
    </row>
    <row r="7" spans="1:4" ht="15.75" thickBot="1">
      <c r="A7" s="57"/>
      <c r="B7" s="58"/>
      <c r="C7" s="58"/>
      <c r="D7" s="59"/>
    </row>
    <row r="8" spans="1:4" ht="15.75" thickTop="1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18">
        <f>RESUMO!C3</f>
        <v>6.29</v>
      </c>
      <c r="C9" s="9" t="s">
        <v>6</v>
      </c>
      <c r="D9" s="28">
        <v>95000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1.258</v>
      </c>
      <c r="C11" s="9" t="s">
        <v>45</v>
      </c>
      <c r="D11" s="8">
        <f>D9/100*D10</f>
        <v>3800</v>
      </c>
    </row>
    <row r="12" spans="1:4" ht="15.75" thickBot="1">
      <c r="A12" s="10" t="s">
        <v>46</v>
      </c>
      <c r="B12" s="28">
        <v>52</v>
      </c>
      <c r="C12" s="9" t="s">
        <v>10</v>
      </c>
      <c r="D12" s="8">
        <f>D11/12</f>
        <v>316.66666666666669</v>
      </c>
    </row>
    <row r="13" spans="1:4" ht="15.75" thickBot="1">
      <c r="A13" s="5" t="s">
        <v>11</v>
      </c>
      <c r="B13" s="29"/>
      <c r="C13" s="9" t="s">
        <v>47</v>
      </c>
      <c r="D13" s="12">
        <f>B12*RESUMO!C4</f>
        <v>1040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0.30448717948717952</v>
      </c>
    </row>
    <row r="15" spans="1:4">
      <c r="A15" s="7" t="s">
        <v>48</v>
      </c>
      <c r="B15" s="30">
        <v>7</v>
      </c>
      <c r="C15" s="15" t="s">
        <v>14</v>
      </c>
      <c r="D15" s="16"/>
    </row>
    <row r="16" spans="1:4">
      <c r="A16" s="7" t="s">
        <v>15</v>
      </c>
      <c r="B16" s="28">
        <v>10000</v>
      </c>
      <c r="C16" s="9" t="s">
        <v>16</v>
      </c>
      <c r="D16" s="37">
        <f>RESUMO!G3</f>
        <v>2495.0813289999996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207.92344408333329</v>
      </c>
    </row>
    <row r="18" spans="1:4">
      <c r="A18" s="5" t="s">
        <v>19</v>
      </c>
      <c r="B18" s="8"/>
      <c r="C18" s="9" t="s">
        <v>20</v>
      </c>
      <c r="D18" s="18">
        <f>D16/12</f>
        <v>207.92344408333329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69.307814694444431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199.60650631999997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523.96707908999986</v>
      </c>
    </row>
    <row r="22" spans="1:4" ht="15.75" thickBot="1">
      <c r="A22" s="7" t="s">
        <v>27</v>
      </c>
      <c r="B22" s="28">
        <v>8000</v>
      </c>
      <c r="C22" s="7" t="s">
        <v>28</v>
      </c>
      <c r="D22" s="18">
        <f>D16+D17+D18+D19+D20+D21</f>
        <v>3703.8096172711107</v>
      </c>
    </row>
    <row r="23" spans="1:4" ht="15.75" thickBot="1">
      <c r="A23" s="10" t="s">
        <v>29</v>
      </c>
      <c r="B23" s="11">
        <f>B21/B22</f>
        <v>0.41249999999999998</v>
      </c>
      <c r="C23" s="7" t="s">
        <v>124</v>
      </c>
      <c r="D23" s="31">
        <v>8</v>
      </c>
    </row>
    <row r="24" spans="1:4" ht="15.75" thickBot="1">
      <c r="A24" s="5" t="s">
        <v>30</v>
      </c>
      <c r="B24" s="16"/>
      <c r="C24" s="7" t="s">
        <v>128</v>
      </c>
      <c r="D24" s="18">
        <f>D22/8*(D23)</f>
        <v>3703.8096172711107</v>
      </c>
    </row>
    <row r="25" spans="1:4" ht="15.75" thickBot="1">
      <c r="A25" s="7" t="s">
        <v>31</v>
      </c>
      <c r="B25" s="17">
        <f>D13*B23</f>
        <v>429</v>
      </c>
      <c r="C25" s="13" t="s">
        <v>32</v>
      </c>
      <c r="D25" s="11">
        <f>D24/D13</f>
        <v>3.5613554012222219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49</v>
      </c>
    </row>
    <row r="27" spans="1:4">
      <c r="A27" s="10"/>
      <c r="B27" s="20"/>
      <c r="C27" s="7" t="s">
        <v>130</v>
      </c>
      <c r="D27" s="8">
        <f>RESUMO!I3</f>
        <v>0</v>
      </c>
    </row>
    <row r="28" spans="1:4">
      <c r="A28" s="10"/>
      <c r="B28" s="20"/>
      <c r="C28" s="7" t="s">
        <v>35</v>
      </c>
      <c r="D28" s="28">
        <v>800</v>
      </c>
    </row>
    <row r="29" spans="1:4">
      <c r="A29" s="10"/>
      <c r="B29" s="20"/>
      <c r="C29" s="7" t="s">
        <v>52</v>
      </c>
      <c r="D29" s="28">
        <v>700</v>
      </c>
    </row>
    <row r="30" spans="1:4">
      <c r="A30" s="10"/>
      <c r="B30" s="20"/>
      <c r="C30" s="7" t="s">
        <v>36</v>
      </c>
      <c r="D30" s="28">
        <v>150</v>
      </c>
    </row>
    <row r="31" spans="1:4">
      <c r="A31" s="10"/>
      <c r="B31" s="20"/>
      <c r="C31" s="7" t="s">
        <v>37</v>
      </c>
      <c r="D31" s="28">
        <v>1600</v>
      </c>
    </row>
    <row r="32" spans="1:4">
      <c r="A32" s="10"/>
      <c r="B32" s="20"/>
      <c r="C32" s="7" t="s">
        <v>38</v>
      </c>
      <c r="D32" s="8">
        <f>SUM(D27:D31)</f>
        <v>3250</v>
      </c>
    </row>
    <row r="33" spans="1:4" ht="15.75" thickBot="1">
      <c r="A33" s="10"/>
      <c r="B33" s="20"/>
      <c r="C33" s="10" t="s">
        <v>39</v>
      </c>
      <c r="D33" s="11">
        <f>(D32/10)/D13</f>
        <v>0.3125</v>
      </c>
    </row>
    <row r="34" spans="1:4" ht="16.5" thickTop="1" thickBot="1">
      <c r="A34" s="21" t="s">
        <v>40</v>
      </c>
      <c r="B34" s="22">
        <f>B23+B17+B11+B26</f>
        <v>2.1004999999999998</v>
      </c>
      <c r="C34" s="21" t="s">
        <v>41</v>
      </c>
      <c r="D34" s="22">
        <f>D33+D25+D14</f>
        <v>4.1783425807094012</v>
      </c>
    </row>
    <row r="35" spans="1:4" ht="16.5" thickTop="1" thickBot="1">
      <c r="A35" s="23" t="s">
        <v>42</v>
      </c>
      <c r="B35" s="24"/>
      <c r="C35" s="25"/>
      <c r="D35" s="26">
        <f>D34+B34</f>
        <v>6.2788425807094015</v>
      </c>
    </row>
    <row r="36" spans="1:4" ht="16.5" thickTop="1" thickBot="1">
      <c r="A36" s="23" t="s">
        <v>43</v>
      </c>
      <c r="B36" s="24"/>
      <c r="C36" s="25"/>
      <c r="D36" s="28">
        <v>20</v>
      </c>
    </row>
    <row r="37" spans="1:4" ht="16.5" thickTop="1" thickBot="1">
      <c r="A37" s="23" t="s">
        <v>44</v>
      </c>
      <c r="B37" s="24"/>
      <c r="C37" s="25"/>
      <c r="D37" s="27">
        <f>D35/100*D36+D35</f>
        <v>7.5346110968512816</v>
      </c>
    </row>
    <row r="38" spans="1:4" ht="15.75" thickTop="1">
      <c r="A38" s="1"/>
      <c r="B38" s="1"/>
      <c r="C38" s="1"/>
      <c r="D38" s="1"/>
    </row>
  </sheetData>
  <sheetProtection sheet="1" objects="1" scenarios="1"/>
  <customSheetViews>
    <customSheetView guid="{BD108985-86A0-4B5F-92C9-20C78F86C30A}">
      <selection activeCell="D14" sqref="D14"/>
      <pageMargins left="0.511811024" right="0.511811024" top="0.78740157499999996" bottom="0.78740157499999996" header="0.31496062000000002" footer="0.31496062000000002"/>
      <pageSetup paperSize="9" orientation="portrait" verticalDpi="0" r:id="rId1"/>
    </customSheetView>
  </customSheetViews>
  <mergeCells count="6">
    <mergeCell ref="A6:D7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verticalDpi="0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D38"/>
  <sheetViews>
    <sheetView topLeftCell="A10" workbookViewId="0">
      <selection activeCell="C27" sqref="C27"/>
    </sheetView>
  </sheetViews>
  <sheetFormatPr defaultRowHeight="15"/>
  <cols>
    <col min="1" max="1" width="32.85546875" bestFit="1" customWidth="1"/>
    <col min="2" max="2" width="9.28515625" bestFit="1" customWidth="1"/>
    <col min="3" max="3" width="35" customWidth="1"/>
    <col min="4" max="4" width="18.28515625" customWidth="1"/>
  </cols>
  <sheetData>
    <row r="1" spans="1:4" ht="24.75" thickTop="1" thickBot="1">
      <c r="A1" s="50" t="s">
        <v>0</v>
      </c>
      <c r="B1" s="50"/>
      <c r="C1" s="50"/>
      <c r="D1" s="50"/>
    </row>
    <row r="2" spans="1:4" ht="24.75" thickTop="1" thickBot="1">
      <c r="A2" s="51" t="s">
        <v>50</v>
      </c>
      <c r="B2" s="52"/>
      <c r="C2" s="52"/>
      <c r="D2" s="53"/>
    </row>
    <row r="3" spans="1:4" ht="24.75" thickTop="1" thickBot="1">
      <c r="A3" s="51" t="s">
        <v>55</v>
      </c>
      <c r="B3" s="52"/>
      <c r="C3" s="52"/>
      <c r="D3" s="53"/>
    </row>
    <row r="4" spans="1:4" ht="24.75" thickTop="1" thickBot="1">
      <c r="A4" s="60"/>
      <c r="B4" s="60"/>
      <c r="C4" s="60"/>
      <c r="D4" s="60"/>
    </row>
    <row r="5" spans="1:4" ht="15.75" thickTop="1">
      <c r="A5" s="54" t="s">
        <v>67</v>
      </c>
      <c r="B5" s="55"/>
      <c r="C5" s="55"/>
      <c r="D5" s="56"/>
    </row>
    <row r="6" spans="1:4" ht="15.75" thickBot="1">
      <c r="A6" s="57"/>
      <c r="B6" s="58"/>
      <c r="C6" s="58"/>
      <c r="D6" s="59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18">
        <f>RESUMO!C3</f>
        <v>6.29</v>
      </c>
      <c r="C9" s="9" t="s">
        <v>6</v>
      </c>
      <c r="D9" s="28">
        <v>95000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1.258</v>
      </c>
      <c r="C11" s="9" t="s">
        <v>45</v>
      </c>
      <c r="D11" s="8">
        <f>D9/100*D10</f>
        <v>3800</v>
      </c>
    </row>
    <row r="12" spans="1:4" ht="15.75" thickBot="1">
      <c r="A12" s="10" t="s">
        <v>46</v>
      </c>
      <c r="B12" s="28">
        <f>30*3</f>
        <v>90</v>
      </c>
      <c r="C12" s="9" t="s">
        <v>10</v>
      </c>
      <c r="D12" s="8">
        <f>D11/12</f>
        <v>316.66666666666669</v>
      </c>
    </row>
    <row r="13" spans="1:4" ht="15.75" thickBot="1">
      <c r="A13" s="5" t="s">
        <v>11</v>
      </c>
      <c r="B13" s="29"/>
      <c r="C13" s="9" t="s">
        <v>47</v>
      </c>
      <c r="D13" s="12">
        <f>B12*RESUMO!C4</f>
        <v>1800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0.17592592592592593</v>
      </c>
    </row>
    <row r="15" spans="1:4">
      <c r="A15" s="7" t="s">
        <v>48</v>
      </c>
      <c r="B15" s="30">
        <v>7</v>
      </c>
      <c r="C15" s="15" t="s">
        <v>14</v>
      </c>
      <c r="D15" s="16"/>
    </row>
    <row r="16" spans="1:4">
      <c r="A16" s="7" t="s">
        <v>15</v>
      </c>
      <c r="B16" s="28">
        <v>10000</v>
      </c>
      <c r="C16" s="9" t="s">
        <v>16</v>
      </c>
      <c r="D16" s="37">
        <f>RESUMO!G3</f>
        <v>2495.0813289999996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207.92344408333329</v>
      </c>
    </row>
    <row r="18" spans="1:4">
      <c r="A18" s="5" t="s">
        <v>19</v>
      </c>
      <c r="B18" s="8"/>
      <c r="C18" s="9" t="s">
        <v>20</v>
      </c>
      <c r="D18" s="18">
        <f>D16/12</f>
        <v>207.92344408333329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69.307814694444431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199.60650631999997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523.96707908999986</v>
      </c>
    </row>
    <row r="22" spans="1:4" ht="15.75" thickBot="1">
      <c r="A22" s="7" t="s">
        <v>27</v>
      </c>
      <c r="B22" s="28">
        <v>8000</v>
      </c>
      <c r="C22" s="7" t="s">
        <v>28</v>
      </c>
      <c r="D22" s="18">
        <f>D16+D17+D18+D19+D20+D21</f>
        <v>3703.8096172711107</v>
      </c>
    </row>
    <row r="23" spans="1:4" ht="15.75" thickBot="1">
      <c r="A23" s="10" t="s">
        <v>29</v>
      </c>
      <c r="B23" s="11">
        <f>B21/B22</f>
        <v>0.41249999999999998</v>
      </c>
      <c r="C23" s="7" t="s">
        <v>124</v>
      </c>
      <c r="D23" s="31">
        <v>8</v>
      </c>
    </row>
    <row r="24" spans="1:4" ht="15.75" thickBot="1">
      <c r="A24" s="5" t="s">
        <v>30</v>
      </c>
      <c r="B24" s="16"/>
      <c r="C24" s="7" t="s">
        <v>128</v>
      </c>
      <c r="D24" s="18">
        <f>D22/8*(D23)</f>
        <v>3703.8096172711107</v>
      </c>
    </row>
    <row r="25" spans="1:4" ht="15.75" thickBot="1">
      <c r="A25" s="7" t="s">
        <v>31</v>
      </c>
      <c r="B25" s="17">
        <f>D13*B23</f>
        <v>742.5</v>
      </c>
      <c r="C25" s="13" t="s">
        <v>32</v>
      </c>
      <c r="D25" s="11">
        <f>D24/D13</f>
        <v>2.0576720095950614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49</v>
      </c>
    </row>
    <row r="27" spans="1:4">
      <c r="A27" s="10"/>
      <c r="B27" s="20"/>
      <c r="C27" s="7" t="s">
        <v>130</v>
      </c>
      <c r="D27" s="8">
        <f>RESUMO!I3</f>
        <v>0</v>
      </c>
    </row>
    <row r="28" spans="1:4">
      <c r="A28" s="10"/>
      <c r="B28" s="20"/>
      <c r="C28" s="7" t="s">
        <v>35</v>
      </c>
      <c r="D28" s="28">
        <v>800</v>
      </c>
    </row>
    <row r="29" spans="1:4">
      <c r="A29" s="10"/>
      <c r="B29" s="20"/>
      <c r="C29" s="7" t="s">
        <v>52</v>
      </c>
      <c r="D29" s="28">
        <v>700</v>
      </c>
    </row>
    <row r="30" spans="1:4">
      <c r="A30" s="10"/>
      <c r="B30" s="20"/>
      <c r="C30" s="7" t="s">
        <v>36</v>
      </c>
      <c r="D30" s="28">
        <v>150</v>
      </c>
    </row>
    <row r="31" spans="1:4">
      <c r="A31" s="10"/>
      <c r="B31" s="20"/>
      <c r="C31" s="7" t="s">
        <v>37</v>
      </c>
      <c r="D31" s="28">
        <v>1600</v>
      </c>
    </row>
    <row r="32" spans="1:4">
      <c r="A32" s="10"/>
      <c r="B32" s="20"/>
      <c r="C32" s="7" t="s">
        <v>38</v>
      </c>
      <c r="D32" s="8">
        <f>SUM(D27:D31)</f>
        <v>3250</v>
      </c>
    </row>
    <row r="33" spans="1:4" ht="15.75" thickBot="1">
      <c r="A33" s="10"/>
      <c r="B33" s="20"/>
      <c r="C33" s="10" t="s">
        <v>39</v>
      </c>
      <c r="D33" s="11">
        <f>(D32/10)/D13</f>
        <v>0.18055555555555555</v>
      </c>
    </row>
    <row r="34" spans="1:4" ht="16.5" thickTop="1" thickBot="1">
      <c r="A34" s="21" t="s">
        <v>40</v>
      </c>
      <c r="B34" s="22">
        <f>B23+B17+B11+B26</f>
        <v>2.1004999999999998</v>
      </c>
      <c r="C34" s="21" t="s">
        <v>41</v>
      </c>
      <c r="D34" s="22">
        <f>D33+D25+D14</f>
        <v>2.4141534910765428</v>
      </c>
    </row>
    <row r="35" spans="1:4" ht="16.5" thickTop="1" thickBot="1">
      <c r="A35" s="23" t="s">
        <v>42</v>
      </c>
      <c r="B35" s="24"/>
      <c r="C35" s="25"/>
      <c r="D35" s="26">
        <f>D34+B34</f>
        <v>4.5146534910765421</v>
      </c>
    </row>
    <row r="36" spans="1:4" ht="16.5" thickTop="1" thickBot="1">
      <c r="A36" s="23" t="s">
        <v>43</v>
      </c>
      <c r="B36" s="24"/>
      <c r="C36" s="25"/>
      <c r="D36" s="28">
        <v>20</v>
      </c>
    </row>
    <row r="37" spans="1:4" ht="16.5" thickTop="1" thickBot="1">
      <c r="A37" s="23" t="s">
        <v>44</v>
      </c>
      <c r="B37" s="24"/>
      <c r="C37" s="25"/>
      <c r="D37" s="27">
        <f>D35/100*D36+D35</f>
        <v>5.4175841892918504</v>
      </c>
    </row>
    <row r="38" spans="1:4" ht="15.75" thickTop="1">
      <c r="A38" s="1"/>
      <c r="B38" s="1"/>
      <c r="C38" s="1"/>
      <c r="D38" s="1"/>
    </row>
  </sheetData>
  <sheetProtection sheet="1" objects="1" scenarios="1"/>
  <customSheetViews>
    <customSheetView guid="{BD108985-86A0-4B5F-92C9-20C78F86C30A}">
      <selection activeCell="B9" sqref="B9"/>
      <pageMargins left="0.511811024" right="0.511811024" top="0.78740157499999996" bottom="0.78740157499999996" header="0.31496062000000002" footer="0.31496062000000002"/>
      <pageSetup paperSize="9" orientation="portrait" verticalDpi="0" r:id="rId1"/>
    </customSheetView>
  </customSheetViews>
  <mergeCells count="5">
    <mergeCell ref="A1:D1"/>
    <mergeCell ref="A2:D2"/>
    <mergeCell ref="A3:D3"/>
    <mergeCell ref="A4:D4"/>
    <mergeCell ref="A5:D6"/>
  </mergeCells>
  <pageMargins left="0.51181102362204722" right="0.51181102362204722" top="0.78740157480314965" bottom="0.78740157480314965" header="0.31496062992125984" footer="0.31496062992125984"/>
  <pageSetup paperSize="9" scale="96" orientation="portrait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D38"/>
  <sheetViews>
    <sheetView topLeftCell="A4" workbookViewId="0">
      <selection activeCell="B13" sqref="B13"/>
    </sheetView>
  </sheetViews>
  <sheetFormatPr defaultRowHeight="15"/>
  <cols>
    <col min="1" max="1" width="32.85546875" bestFit="1" customWidth="1"/>
    <col min="2" max="2" width="14.7109375" customWidth="1"/>
    <col min="3" max="3" width="34.5703125" customWidth="1"/>
    <col min="4" max="4" width="9.28515625" bestFit="1" customWidth="1"/>
  </cols>
  <sheetData>
    <row r="1" spans="1:4" ht="24.75" thickTop="1" thickBot="1">
      <c r="A1" s="50" t="s">
        <v>0</v>
      </c>
      <c r="B1" s="50"/>
      <c r="C1" s="50"/>
      <c r="D1" s="50"/>
    </row>
    <row r="2" spans="1:4" ht="24.75" thickTop="1" thickBot="1">
      <c r="A2" s="51" t="s">
        <v>50</v>
      </c>
      <c r="B2" s="52"/>
      <c r="C2" s="52"/>
      <c r="D2" s="53"/>
    </row>
    <row r="3" spans="1:4" ht="24.75" thickTop="1" thickBot="1">
      <c r="A3" s="51" t="s">
        <v>56</v>
      </c>
      <c r="B3" s="52"/>
      <c r="C3" s="52"/>
      <c r="D3" s="53"/>
    </row>
    <row r="4" spans="1:4" ht="24.75" thickTop="1" thickBot="1">
      <c r="A4" s="60"/>
      <c r="B4" s="60"/>
      <c r="C4" s="60"/>
      <c r="D4" s="60"/>
    </row>
    <row r="5" spans="1:4" ht="15.75" thickTop="1">
      <c r="A5" s="54" t="s">
        <v>67</v>
      </c>
      <c r="B5" s="55"/>
      <c r="C5" s="55"/>
      <c r="D5" s="56"/>
    </row>
    <row r="6" spans="1:4" ht="15.75" thickBot="1">
      <c r="A6" s="57"/>
      <c r="B6" s="58"/>
      <c r="C6" s="58"/>
      <c r="D6" s="59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18">
        <f>RESUMO!C3</f>
        <v>6.29</v>
      </c>
      <c r="C9" s="9" t="s">
        <v>6</v>
      </c>
      <c r="D9" s="28">
        <v>95000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1.258</v>
      </c>
      <c r="C11" s="9" t="s">
        <v>45</v>
      </c>
      <c r="D11" s="8">
        <f>D9/100*D10</f>
        <v>3800</v>
      </c>
    </row>
    <row r="12" spans="1:4" ht="15.75" thickBot="1">
      <c r="A12" s="10" t="s">
        <v>46</v>
      </c>
      <c r="B12" s="28">
        <f>51.667*3</f>
        <v>155.001</v>
      </c>
      <c r="C12" s="9" t="s">
        <v>10</v>
      </c>
      <c r="D12" s="8">
        <f>D11/12</f>
        <v>316.66666666666669</v>
      </c>
    </row>
    <row r="13" spans="1:4" ht="15.75" thickBot="1">
      <c r="A13" s="5" t="s">
        <v>11</v>
      </c>
      <c r="B13" s="29"/>
      <c r="C13" s="9" t="s">
        <v>47</v>
      </c>
      <c r="D13" s="12">
        <f>B12*RESUMO!C4</f>
        <v>3100.02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0.10214987860293376</v>
      </c>
    </row>
    <row r="15" spans="1:4">
      <c r="A15" s="7" t="s">
        <v>48</v>
      </c>
      <c r="B15" s="30">
        <v>7</v>
      </c>
      <c r="C15" s="15" t="s">
        <v>14</v>
      </c>
      <c r="D15" s="16"/>
    </row>
    <row r="16" spans="1:4">
      <c r="A16" s="7" t="s">
        <v>15</v>
      </c>
      <c r="B16" s="28">
        <v>10000</v>
      </c>
      <c r="C16" s="9" t="s">
        <v>16</v>
      </c>
      <c r="D16" s="37">
        <f>RESUMO!G3</f>
        <v>2495.0813289999996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207.92344408333329</v>
      </c>
    </row>
    <row r="18" spans="1:4">
      <c r="A18" s="5" t="s">
        <v>19</v>
      </c>
      <c r="B18" s="8"/>
      <c r="C18" s="9" t="s">
        <v>20</v>
      </c>
      <c r="D18" s="18">
        <f>D16/12</f>
        <v>207.92344408333329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69.307814694444431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199.60650631999997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523.96707908999986</v>
      </c>
    </row>
    <row r="22" spans="1:4" ht="15.75" thickBot="1">
      <c r="A22" s="7" t="s">
        <v>27</v>
      </c>
      <c r="B22" s="28">
        <v>8000</v>
      </c>
      <c r="C22" s="7" t="s">
        <v>28</v>
      </c>
      <c r="D22" s="18">
        <f>D16+D17+D18+D19+D20+D21</f>
        <v>3703.8096172711107</v>
      </c>
    </row>
    <row r="23" spans="1:4" ht="15.75" thickBot="1">
      <c r="A23" s="10" t="s">
        <v>29</v>
      </c>
      <c r="B23" s="11">
        <f>B21/B22</f>
        <v>0.41249999999999998</v>
      </c>
      <c r="C23" s="7" t="s">
        <v>124</v>
      </c>
      <c r="D23" s="31">
        <v>8</v>
      </c>
    </row>
    <row r="24" spans="1:4" ht="15.75" thickBot="1">
      <c r="A24" s="5" t="s">
        <v>30</v>
      </c>
      <c r="B24" s="16"/>
      <c r="C24" s="7" t="s">
        <v>128</v>
      </c>
      <c r="D24" s="18">
        <f>D22/8*(D23)</f>
        <v>3703.8096172711107</v>
      </c>
    </row>
    <row r="25" spans="1:4" ht="15.75" thickBot="1">
      <c r="A25" s="7" t="s">
        <v>31</v>
      </c>
      <c r="B25" s="17">
        <f>D13*B23</f>
        <v>1278.7582499999999</v>
      </c>
      <c r="C25" s="13" t="s">
        <v>32</v>
      </c>
      <c r="D25" s="11">
        <f>D24/D13</f>
        <v>1.1947695877030182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49</v>
      </c>
    </row>
    <row r="27" spans="1:4">
      <c r="A27" s="10"/>
      <c r="B27" s="20"/>
      <c r="C27" s="7" t="s">
        <v>130</v>
      </c>
      <c r="D27" s="8">
        <f>RESUMO!I3</f>
        <v>0</v>
      </c>
    </row>
    <row r="28" spans="1:4">
      <c r="A28" s="10"/>
      <c r="B28" s="20"/>
      <c r="C28" s="7" t="s">
        <v>35</v>
      </c>
      <c r="D28" s="28">
        <v>800</v>
      </c>
    </row>
    <row r="29" spans="1:4">
      <c r="A29" s="10"/>
      <c r="B29" s="20"/>
      <c r="C29" s="7" t="s">
        <v>52</v>
      </c>
      <c r="D29" s="28">
        <v>700</v>
      </c>
    </row>
    <row r="30" spans="1:4">
      <c r="A30" s="10"/>
      <c r="B30" s="20"/>
      <c r="C30" s="7" t="s">
        <v>36</v>
      </c>
      <c r="D30" s="28">
        <v>150</v>
      </c>
    </row>
    <row r="31" spans="1:4">
      <c r="A31" s="10"/>
      <c r="B31" s="20"/>
      <c r="C31" s="7" t="s">
        <v>37</v>
      </c>
      <c r="D31" s="28">
        <v>1600</v>
      </c>
    </row>
    <row r="32" spans="1:4">
      <c r="A32" s="10"/>
      <c r="B32" s="20"/>
      <c r="C32" s="7" t="s">
        <v>38</v>
      </c>
      <c r="D32" s="8">
        <f>SUM(D27:D31)</f>
        <v>3250</v>
      </c>
    </row>
    <row r="33" spans="1:4" ht="15.75" thickBot="1">
      <c r="A33" s="10"/>
      <c r="B33" s="20"/>
      <c r="C33" s="10" t="s">
        <v>39</v>
      </c>
      <c r="D33" s="11">
        <f>(D32/10)/D13</f>
        <v>0.10483803330301095</v>
      </c>
    </row>
    <row r="34" spans="1:4" ht="16.5" thickTop="1" thickBot="1">
      <c r="A34" s="21" t="s">
        <v>40</v>
      </c>
      <c r="B34" s="22">
        <f>B23+B17+B11+B26</f>
        <v>2.1004999999999998</v>
      </c>
      <c r="C34" s="21" t="s">
        <v>41</v>
      </c>
      <c r="D34" s="22">
        <f>D33+D25+D14</f>
        <v>1.401757499608963</v>
      </c>
    </row>
    <row r="35" spans="1:4" ht="16.5" thickTop="1" thickBot="1">
      <c r="A35" s="23" t="s">
        <v>42</v>
      </c>
      <c r="B35" s="24"/>
      <c r="C35" s="25"/>
      <c r="D35" s="26">
        <f>D34+B34</f>
        <v>3.5022574996089628</v>
      </c>
    </row>
    <row r="36" spans="1:4" ht="16.5" thickTop="1" thickBot="1">
      <c r="A36" s="23" t="s">
        <v>43</v>
      </c>
      <c r="B36" s="24"/>
      <c r="C36" s="25"/>
      <c r="D36" s="28">
        <v>20</v>
      </c>
    </row>
    <row r="37" spans="1:4" ht="16.5" thickTop="1" thickBot="1">
      <c r="A37" s="23" t="s">
        <v>44</v>
      </c>
      <c r="B37" s="24"/>
      <c r="C37" s="25"/>
      <c r="D37" s="27">
        <f>D35/100*D36+D35</f>
        <v>4.2027089995307554</v>
      </c>
    </row>
    <row r="38" spans="1:4" ht="15.75" thickTop="1">
      <c r="A38" s="1"/>
      <c r="B38" s="1"/>
      <c r="C38" s="1"/>
      <c r="D38" s="1"/>
    </row>
  </sheetData>
  <sheetProtection sheet="1" objects="1" scenarios="1"/>
  <customSheetViews>
    <customSheetView guid="{BD108985-86A0-4B5F-92C9-20C78F86C30A}">
      <selection activeCell="D14" sqref="D14"/>
      <pageMargins left="0.511811024" right="0.511811024" top="0.78740157499999996" bottom="0.78740157499999996" header="0.31496062000000002" footer="0.31496062000000002"/>
      <pageSetup paperSize="9" orientation="portrait" verticalDpi="0" r:id="rId1"/>
    </customSheetView>
  </customSheetViews>
  <mergeCells count="5">
    <mergeCell ref="A1:D1"/>
    <mergeCell ref="A2:D2"/>
    <mergeCell ref="A3:D3"/>
    <mergeCell ref="A4:D4"/>
    <mergeCell ref="A5:D6"/>
  </mergeCells>
  <pageMargins left="0.511811024" right="0.511811024" top="0.78740157499999996" bottom="0.78740157499999996" header="0.31496062000000002" footer="0.31496062000000002"/>
  <pageSetup paperSize="9" orientation="portrait" verticalDpi="0"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D38"/>
  <sheetViews>
    <sheetView workbookViewId="0">
      <selection activeCell="C38" sqref="C38"/>
    </sheetView>
  </sheetViews>
  <sheetFormatPr defaultRowHeight="15"/>
  <cols>
    <col min="1" max="1" width="32.85546875" bestFit="1" customWidth="1"/>
    <col min="2" max="2" width="11.5703125" customWidth="1"/>
    <col min="3" max="3" width="30.140625" bestFit="1" customWidth="1"/>
    <col min="4" max="4" width="16.140625" customWidth="1"/>
  </cols>
  <sheetData>
    <row r="1" spans="1:4" ht="24.75" thickTop="1" thickBot="1">
      <c r="A1" s="50" t="s">
        <v>0</v>
      </c>
      <c r="B1" s="50"/>
      <c r="C1" s="50"/>
      <c r="D1" s="50"/>
    </row>
    <row r="2" spans="1:4" ht="24.75" thickTop="1" thickBot="1">
      <c r="A2" s="51" t="s">
        <v>50</v>
      </c>
      <c r="B2" s="52"/>
      <c r="C2" s="52"/>
      <c r="D2" s="53"/>
    </row>
    <row r="3" spans="1:4" ht="24.75" thickTop="1" thickBot="1">
      <c r="A3" s="51" t="s">
        <v>57</v>
      </c>
      <c r="B3" s="52"/>
      <c r="C3" s="52"/>
      <c r="D3" s="53"/>
    </row>
    <row r="4" spans="1:4" ht="24.75" thickTop="1" thickBot="1">
      <c r="A4" s="60"/>
      <c r="B4" s="60"/>
      <c r="C4" s="60"/>
      <c r="D4" s="60"/>
    </row>
    <row r="5" spans="1:4" ht="15.75" thickTop="1">
      <c r="A5" s="54" t="s">
        <v>67</v>
      </c>
      <c r="B5" s="55"/>
      <c r="C5" s="55"/>
      <c r="D5" s="56"/>
    </row>
    <row r="6" spans="1:4" ht="15.75" thickBot="1">
      <c r="A6" s="57"/>
      <c r="B6" s="58"/>
      <c r="C6" s="58"/>
      <c r="D6" s="59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18">
        <f>RESUMO!C3</f>
        <v>6.29</v>
      </c>
      <c r="C9" s="9" t="s">
        <v>6</v>
      </c>
      <c r="D9" s="28">
        <v>95000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1.258</v>
      </c>
      <c r="C11" s="9" t="s">
        <v>45</v>
      </c>
      <c r="D11" s="8">
        <f>D9/100*D10</f>
        <v>3800</v>
      </c>
    </row>
    <row r="12" spans="1:4" ht="15.75" thickBot="1">
      <c r="A12" s="10" t="s">
        <v>46</v>
      </c>
      <c r="B12" s="28">
        <f>27.5*2</f>
        <v>55</v>
      </c>
      <c r="C12" s="9" t="s">
        <v>10</v>
      </c>
      <c r="D12" s="8">
        <f>D11/12</f>
        <v>316.66666666666669</v>
      </c>
    </row>
    <row r="13" spans="1:4" ht="15.75" thickBot="1">
      <c r="A13" s="5" t="s">
        <v>11</v>
      </c>
      <c r="B13" s="29"/>
      <c r="C13" s="9" t="s">
        <v>47</v>
      </c>
      <c r="D13" s="12">
        <f>B12*RESUMO!C4</f>
        <v>1100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0.2878787878787879</v>
      </c>
    </row>
    <row r="15" spans="1:4">
      <c r="A15" s="7" t="s">
        <v>48</v>
      </c>
      <c r="B15" s="30">
        <v>7</v>
      </c>
      <c r="C15" s="15" t="s">
        <v>14</v>
      </c>
      <c r="D15" s="16"/>
    </row>
    <row r="16" spans="1:4">
      <c r="A16" s="7" t="s">
        <v>15</v>
      </c>
      <c r="B16" s="28">
        <v>10000</v>
      </c>
      <c r="C16" s="9" t="s">
        <v>16</v>
      </c>
      <c r="D16" s="37">
        <f>RESUMO!G3</f>
        <v>2495.0813289999996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207.92344408333329</v>
      </c>
    </row>
    <row r="18" spans="1:4">
      <c r="A18" s="5" t="s">
        <v>19</v>
      </c>
      <c r="B18" s="8"/>
      <c r="C18" s="9" t="s">
        <v>20</v>
      </c>
      <c r="D18" s="18">
        <f>D16/12</f>
        <v>207.92344408333329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69.307814694444431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199.60650631999997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523.96707908999986</v>
      </c>
    </row>
    <row r="22" spans="1:4" ht="15.75" thickBot="1">
      <c r="A22" s="7" t="s">
        <v>27</v>
      </c>
      <c r="B22" s="28">
        <v>8000</v>
      </c>
      <c r="C22" s="7" t="s">
        <v>28</v>
      </c>
      <c r="D22" s="18">
        <f>D16+D17+D18+D19+D20+D21</f>
        <v>3703.8096172711107</v>
      </c>
    </row>
    <row r="23" spans="1:4" ht="15.75" thickBot="1">
      <c r="A23" s="10" t="s">
        <v>29</v>
      </c>
      <c r="B23" s="11">
        <f>B21/B22</f>
        <v>0.41249999999999998</v>
      </c>
      <c r="C23" s="7" t="s">
        <v>124</v>
      </c>
      <c r="D23" s="31">
        <v>5</v>
      </c>
    </row>
    <row r="24" spans="1:4" ht="15.75" thickBot="1">
      <c r="A24" s="5" t="s">
        <v>30</v>
      </c>
      <c r="B24" s="16"/>
      <c r="C24" s="7" t="s">
        <v>128</v>
      </c>
      <c r="D24" s="18">
        <f>D22/8*(D23)</f>
        <v>2314.8810107944441</v>
      </c>
    </row>
    <row r="25" spans="1:4" ht="15.75" thickBot="1">
      <c r="A25" s="7" t="s">
        <v>31</v>
      </c>
      <c r="B25" s="17">
        <f>D13*B23</f>
        <v>453.75</v>
      </c>
      <c r="C25" s="13" t="s">
        <v>32</v>
      </c>
      <c r="D25" s="11">
        <f>D24/D13</f>
        <v>2.1044372825404039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49</v>
      </c>
    </row>
    <row r="27" spans="1:4">
      <c r="A27" s="10"/>
      <c r="B27" s="20"/>
      <c r="C27" s="7" t="s">
        <v>130</v>
      </c>
      <c r="D27" s="8">
        <f>RESUMO!I3</f>
        <v>0</v>
      </c>
    </row>
    <row r="28" spans="1:4">
      <c r="A28" s="10"/>
      <c r="B28" s="20"/>
      <c r="C28" s="7" t="s">
        <v>35</v>
      </c>
      <c r="D28" s="28">
        <v>800</v>
      </c>
    </row>
    <row r="29" spans="1:4">
      <c r="A29" s="10"/>
      <c r="B29" s="20"/>
      <c r="C29" s="7" t="s">
        <v>52</v>
      </c>
      <c r="D29" s="28">
        <v>700</v>
      </c>
    </row>
    <row r="30" spans="1:4">
      <c r="A30" s="10"/>
      <c r="B30" s="20"/>
      <c r="C30" s="7" t="s">
        <v>36</v>
      </c>
      <c r="D30" s="28">
        <v>150</v>
      </c>
    </row>
    <row r="31" spans="1:4">
      <c r="A31" s="10"/>
      <c r="B31" s="20"/>
      <c r="C31" s="7" t="s">
        <v>37</v>
      </c>
      <c r="D31" s="28">
        <v>1400</v>
      </c>
    </row>
    <row r="32" spans="1:4">
      <c r="A32" s="10"/>
      <c r="B32" s="20"/>
      <c r="C32" s="7" t="s">
        <v>38</v>
      </c>
      <c r="D32" s="8">
        <f>SUM(D27:D31)</f>
        <v>3050</v>
      </c>
    </row>
    <row r="33" spans="1:4" ht="15.75" thickBot="1">
      <c r="A33" s="10"/>
      <c r="B33" s="20"/>
      <c r="C33" s="10" t="s">
        <v>39</v>
      </c>
      <c r="D33" s="11">
        <f>(D32/10)/D13</f>
        <v>0.27727272727272728</v>
      </c>
    </row>
    <row r="34" spans="1:4" ht="16.5" thickTop="1" thickBot="1">
      <c r="A34" s="21" t="s">
        <v>40</v>
      </c>
      <c r="B34" s="22">
        <f>B23+B17+B11+B26</f>
        <v>2.1004999999999998</v>
      </c>
      <c r="C34" s="21" t="s">
        <v>41</v>
      </c>
      <c r="D34" s="22">
        <f>D33+D25+D14</f>
        <v>2.6695887976919193</v>
      </c>
    </row>
    <row r="35" spans="1:4" ht="16.5" thickTop="1" thickBot="1">
      <c r="A35" s="23" t="s">
        <v>42</v>
      </c>
      <c r="B35" s="24"/>
      <c r="C35" s="25"/>
      <c r="D35" s="26">
        <f>D34+B34</f>
        <v>4.7700887976919191</v>
      </c>
    </row>
    <row r="36" spans="1:4" ht="16.5" thickTop="1" thickBot="1">
      <c r="A36" s="23" t="s">
        <v>43</v>
      </c>
      <c r="B36" s="24"/>
      <c r="C36" s="25"/>
      <c r="D36" s="28">
        <v>20</v>
      </c>
    </row>
    <row r="37" spans="1:4" ht="16.5" thickTop="1" thickBot="1">
      <c r="A37" s="23" t="s">
        <v>44</v>
      </c>
      <c r="B37" s="24"/>
      <c r="C37" s="25"/>
      <c r="D37" s="27">
        <f>D35/100*D36+D35</f>
        <v>5.7241065572303027</v>
      </c>
    </row>
    <row r="38" spans="1:4" ht="15.75" thickTop="1">
      <c r="A38" s="1"/>
      <c r="B38" s="1"/>
      <c r="C38" s="1"/>
      <c r="D38" s="1"/>
    </row>
  </sheetData>
  <sheetProtection sheet="1" objects="1" scenarios="1"/>
  <customSheetViews>
    <customSheetView guid="{BD108985-86A0-4B5F-92C9-20C78F86C30A}">
      <selection activeCell="D14" sqref="D14"/>
      <pageMargins left="0.511811024" right="0.511811024" top="0.78740157499999996" bottom="0.78740157499999996" header="0.31496062000000002" footer="0.31496062000000002"/>
      <pageSetup paperSize="9" orientation="portrait" verticalDpi="0" r:id="rId1"/>
    </customSheetView>
  </customSheetViews>
  <mergeCells count="5">
    <mergeCell ref="A1:D1"/>
    <mergeCell ref="A2:D2"/>
    <mergeCell ref="A3:D3"/>
    <mergeCell ref="A4:D4"/>
    <mergeCell ref="A5:D6"/>
  </mergeCells>
  <pageMargins left="0.511811024" right="0.511811024" top="0.78740157499999996" bottom="0.78740157499999996" header="0.31496062000000002" footer="0.31496062000000002"/>
  <pageSetup paperSize="9" orientation="portrait" verticalDpi="0"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/>
  </sheetPr>
  <dimension ref="A1:D38"/>
  <sheetViews>
    <sheetView topLeftCell="A18" workbookViewId="0">
      <selection activeCell="C38" sqref="C38"/>
    </sheetView>
  </sheetViews>
  <sheetFormatPr defaultRowHeight="15"/>
  <cols>
    <col min="1" max="1" width="32.85546875" bestFit="1" customWidth="1"/>
    <col min="2" max="2" width="9.28515625" bestFit="1" customWidth="1"/>
    <col min="3" max="3" width="31.42578125" customWidth="1"/>
    <col min="4" max="4" width="16.28515625" customWidth="1"/>
  </cols>
  <sheetData>
    <row r="1" spans="1:4" ht="24.75" thickTop="1" thickBot="1">
      <c r="A1" s="50" t="s">
        <v>0</v>
      </c>
      <c r="B1" s="50"/>
      <c r="C1" s="50"/>
      <c r="D1" s="50"/>
    </row>
    <row r="2" spans="1:4" ht="24.75" thickTop="1" thickBot="1">
      <c r="A2" s="51" t="s">
        <v>50</v>
      </c>
      <c r="B2" s="52"/>
      <c r="C2" s="52"/>
      <c r="D2" s="53"/>
    </row>
    <row r="3" spans="1:4" ht="24.75" thickTop="1" thickBot="1">
      <c r="A3" s="51" t="s">
        <v>58</v>
      </c>
      <c r="B3" s="52"/>
      <c r="C3" s="52"/>
      <c r="D3" s="53"/>
    </row>
    <row r="4" spans="1:4" ht="24.75" thickTop="1" thickBot="1">
      <c r="A4" s="60"/>
      <c r="B4" s="60"/>
      <c r="C4" s="60"/>
      <c r="D4" s="60"/>
    </row>
    <row r="5" spans="1:4" ht="15.75" thickTop="1">
      <c r="A5" s="54" t="s">
        <v>67</v>
      </c>
      <c r="B5" s="55"/>
      <c r="C5" s="55"/>
      <c r="D5" s="56"/>
    </row>
    <row r="6" spans="1:4" ht="15.75" thickBot="1">
      <c r="A6" s="57"/>
      <c r="B6" s="58"/>
      <c r="C6" s="58"/>
      <c r="D6" s="59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18">
        <f>RESUMO!C3</f>
        <v>6.29</v>
      </c>
      <c r="C9" s="9" t="s">
        <v>6</v>
      </c>
      <c r="D9" s="28">
        <v>95000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1.258</v>
      </c>
      <c r="C11" s="9" t="s">
        <v>45</v>
      </c>
      <c r="D11" s="8">
        <f>D9/100*D10</f>
        <v>3800</v>
      </c>
    </row>
    <row r="12" spans="1:4" ht="15.75" thickBot="1">
      <c r="A12" s="10" t="s">
        <v>46</v>
      </c>
      <c r="B12" s="28">
        <v>40</v>
      </c>
      <c r="C12" s="9" t="s">
        <v>10</v>
      </c>
      <c r="D12" s="8">
        <f>D11/12</f>
        <v>316.66666666666669</v>
      </c>
    </row>
    <row r="13" spans="1:4" ht="15.75" thickBot="1">
      <c r="A13" s="5" t="s">
        <v>11</v>
      </c>
      <c r="B13" s="29"/>
      <c r="C13" s="9" t="s">
        <v>47</v>
      </c>
      <c r="D13" s="12">
        <f>B12*RESUMO!C4</f>
        <v>800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0.39583333333333337</v>
      </c>
    </row>
    <row r="15" spans="1:4">
      <c r="A15" s="7" t="s">
        <v>48</v>
      </c>
      <c r="B15" s="30">
        <v>7</v>
      </c>
      <c r="C15" s="15" t="s">
        <v>14</v>
      </c>
      <c r="D15" s="16"/>
    </row>
    <row r="16" spans="1:4">
      <c r="A16" s="7" t="s">
        <v>15</v>
      </c>
      <c r="B16" s="28">
        <v>10000</v>
      </c>
      <c r="C16" s="9" t="s">
        <v>16</v>
      </c>
      <c r="D16" s="37">
        <f>RESUMO!G3</f>
        <v>2495.0813289999996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207.92344408333329</v>
      </c>
    </row>
    <row r="18" spans="1:4">
      <c r="A18" s="5" t="s">
        <v>19</v>
      </c>
      <c r="B18" s="8"/>
      <c r="C18" s="9" t="s">
        <v>20</v>
      </c>
      <c r="D18" s="18">
        <f>D16/12</f>
        <v>207.92344408333329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69.307814694444431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199.60650631999997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523.96707908999986</v>
      </c>
    </row>
    <row r="22" spans="1:4" ht="15.75" thickBot="1">
      <c r="A22" s="7" t="s">
        <v>27</v>
      </c>
      <c r="B22" s="28">
        <v>8000</v>
      </c>
      <c r="C22" s="7" t="s">
        <v>28</v>
      </c>
      <c r="D22" s="18">
        <f>D16+D17+D18+D19+D20+D21</f>
        <v>3703.8096172711107</v>
      </c>
    </row>
    <row r="23" spans="1:4" ht="15.75" thickBot="1">
      <c r="A23" s="10" t="s">
        <v>29</v>
      </c>
      <c r="B23" s="11">
        <f>B21/B22</f>
        <v>0.41249999999999998</v>
      </c>
      <c r="C23" s="7" t="s">
        <v>124</v>
      </c>
      <c r="D23" s="31">
        <v>6.5</v>
      </c>
    </row>
    <row r="24" spans="1:4" ht="15.75" thickBot="1">
      <c r="A24" s="5" t="s">
        <v>30</v>
      </c>
      <c r="B24" s="16"/>
      <c r="C24" s="7" t="s">
        <v>128</v>
      </c>
      <c r="D24" s="18">
        <f>D22/8*(D23)</f>
        <v>3009.3453140327774</v>
      </c>
    </row>
    <row r="25" spans="1:4" ht="15.75" thickBot="1">
      <c r="A25" s="7" t="s">
        <v>31</v>
      </c>
      <c r="B25" s="17">
        <f>D13*B23</f>
        <v>330</v>
      </c>
      <c r="C25" s="13" t="s">
        <v>32</v>
      </c>
      <c r="D25" s="11">
        <f>D24/D13</f>
        <v>3.7616816425409718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49</v>
      </c>
    </row>
    <row r="27" spans="1:4">
      <c r="A27" s="10"/>
      <c r="B27" s="20"/>
      <c r="C27" s="7" t="s">
        <v>130</v>
      </c>
      <c r="D27" s="8">
        <f>RESUMO!I3</f>
        <v>0</v>
      </c>
    </row>
    <row r="28" spans="1:4">
      <c r="A28" s="10"/>
      <c r="B28" s="20"/>
      <c r="C28" s="7" t="s">
        <v>35</v>
      </c>
      <c r="D28" s="28">
        <v>800</v>
      </c>
    </row>
    <row r="29" spans="1:4">
      <c r="A29" s="10"/>
      <c r="B29" s="20"/>
      <c r="C29" s="7" t="s">
        <v>52</v>
      </c>
      <c r="D29" s="28">
        <v>700</v>
      </c>
    </row>
    <row r="30" spans="1:4">
      <c r="A30" s="10"/>
      <c r="B30" s="20"/>
      <c r="C30" s="7" t="s">
        <v>36</v>
      </c>
      <c r="D30" s="28">
        <v>150</v>
      </c>
    </row>
    <row r="31" spans="1:4">
      <c r="A31" s="10"/>
      <c r="B31" s="20"/>
      <c r="C31" s="7" t="s">
        <v>37</v>
      </c>
      <c r="D31" s="28">
        <v>1400</v>
      </c>
    </row>
    <row r="32" spans="1:4">
      <c r="A32" s="10"/>
      <c r="B32" s="20"/>
      <c r="C32" s="7" t="s">
        <v>38</v>
      </c>
      <c r="D32" s="8">
        <f>SUM(D27:D31)</f>
        <v>3050</v>
      </c>
    </row>
    <row r="33" spans="1:4" ht="15.75" thickBot="1">
      <c r="A33" s="10"/>
      <c r="B33" s="20"/>
      <c r="C33" s="10" t="s">
        <v>39</v>
      </c>
      <c r="D33" s="11">
        <f>(D32/10)/D13</f>
        <v>0.38124999999999998</v>
      </c>
    </row>
    <row r="34" spans="1:4" ht="16.5" thickTop="1" thickBot="1">
      <c r="A34" s="21" t="s">
        <v>40</v>
      </c>
      <c r="B34" s="22">
        <f>B23+B17+B11+B26</f>
        <v>2.1004999999999998</v>
      </c>
      <c r="C34" s="21" t="s">
        <v>41</v>
      </c>
      <c r="D34" s="22">
        <f>D33+D25+D14</f>
        <v>4.5387649758743045</v>
      </c>
    </row>
    <row r="35" spans="1:4" ht="16.5" thickTop="1" thickBot="1">
      <c r="A35" s="23" t="s">
        <v>42</v>
      </c>
      <c r="B35" s="24"/>
      <c r="C35" s="25"/>
      <c r="D35" s="26">
        <f>D34+B34</f>
        <v>6.6392649758743048</v>
      </c>
    </row>
    <row r="36" spans="1:4" ht="16.5" thickTop="1" thickBot="1">
      <c r="A36" s="23" t="s">
        <v>43</v>
      </c>
      <c r="B36" s="24"/>
      <c r="C36" s="25"/>
      <c r="D36" s="28">
        <v>20</v>
      </c>
    </row>
    <row r="37" spans="1:4" ht="16.5" thickTop="1" thickBot="1">
      <c r="A37" s="23" t="s">
        <v>44</v>
      </c>
      <c r="B37" s="24"/>
      <c r="C37" s="25"/>
      <c r="D37" s="27">
        <f>D35/100*D36+D35</f>
        <v>7.9671179710491655</v>
      </c>
    </row>
    <row r="38" spans="1:4" ht="15.75" thickTop="1">
      <c r="A38" s="1"/>
      <c r="B38" s="1"/>
      <c r="C38" s="1"/>
      <c r="D38" s="1"/>
    </row>
  </sheetData>
  <sheetProtection sheet="1" objects="1" scenarios="1"/>
  <customSheetViews>
    <customSheetView guid="{BD108985-86A0-4B5F-92C9-20C78F86C30A}">
      <selection activeCell="D14" sqref="D14"/>
      <pageMargins left="0.511811024" right="0.511811024" top="0.78740157499999996" bottom="0.78740157499999996" header="0.31496062000000002" footer="0.31496062000000002"/>
      <pageSetup paperSize="9" orientation="portrait" verticalDpi="0" r:id="rId1"/>
    </customSheetView>
  </customSheetViews>
  <mergeCells count="5">
    <mergeCell ref="A1:D1"/>
    <mergeCell ref="A2:D2"/>
    <mergeCell ref="A3:D3"/>
    <mergeCell ref="A4:D4"/>
    <mergeCell ref="A5:D6"/>
  </mergeCells>
  <pageMargins left="0.511811024" right="0.511811024" top="0.78740157499999996" bottom="0.78740157499999996" header="0.31496062000000002" footer="0.31496062000000002"/>
  <pageSetup paperSize="9" orientation="portrait" verticalDpi="0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/>
  </sheetPr>
  <dimension ref="A1:D38"/>
  <sheetViews>
    <sheetView topLeftCell="A11" workbookViewId="0">
      <selection activeCell="C38" sqref="C38"/>
    </sheetView>
  </sheetViews>
  <sheetFormatPr defaultRowHeight="15"/>
  <cols>
    <col min="1" max="1" width="32.85546875" bestFit="1" customWidth="1"/>
    <col min="2" max="2" width="12" customWidth="1"/>
    <col min="3" max="3" width="30.140625" bestFit="1" customWidth="1"/>
    <col min="4" max="4" width="14.5703125" customWidth="1"/>
  </cols>
  <sheetData>
    <row r="1" spans="1:4" ht="24.75" thickTop="1" thickBot="1">
      <c r="A1" s="50" t="s">
        <v>0</v>
      </c>
      <c r="B1" s="50"/>
      <c r="C1" s="50"/>
      <c r="D1" s="50"/>
    </row>
    <row r="2" spans="1:4" ht="24.75" thickTop="1" thickBot="1">
      <c r="A2" s="51" t="s">
        <v>50</v>
      </c>
      <c r="B2" s="52"/>
      <c r="C2" s="52"/>
      <c r="D2" s="53"/>
    </row>
    <row r="3" spans="1:4" ht="24.75" thickTop="1" thickBot="1">
      <c r="A3" s="51" t="s">
        <v>59</v>
      </c>
      <c r="B3" s="52"/>
      <c r="C3" s="52"/>
      <c r="D3" s="53"/>
    </row>
    <row r="4" spans="1:4" ht="24.75" thickTop="1" thickBot="1">
      <c r="A4" s="60"/>
      <c r="B4" s="60"/>
      <c r="C4" s="60"/>
      <c r="D4" s="60"/>
    </row>
    <row r="5" spans="1:4" ht="15.75" thickTop="1">
      <c r="A5" s="54" t="s">
        <v>67</v>
      </c>
      <c r="B5" s="55"/>
      <c r="C5" s="55"/>
      <c r="D5" s="56"/>
    </row>
    <row r="6" spans="1:4" ht="15.75" thickBot="1">
      <c r="A6" s="57"/>
      <c r="B6" s="58"/>
      <c r="C6" s="58"/>
      <c r="D6" s="59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18">
        <f>RESUMO!C3</f>
        <v>6.29</v>
      </c>
      <c r="C9" s="9" t="s">
        <v>6</v>
      </c>
      <c r="D9" s="28">
        <v>95000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1.258</v>
      </c>
      <c r="C11" s="9" t="s">
        <v>45</v>
      </c>
      <c r="D11" s="8">
        <f>D9/100*D10</f>
        <v>3800</v>
      </c>
    </row>
    <row r="12" spans="1:4" ht="15.75" thickBot="1">
      <c r="A12" s="10" t="s">
        <v>46</v>
      </c>
      <c r="B12" s="28">
        <f>45*3</f>
        <v>135</v>
      </c>
      <c r="C12" s="9" t="s">
        <v>10</v>
      </c>
      <c r="D12" s="8">
        <f>D11/12</f>
        <v>316.66666666666669</v>
      </c>
    </row>
    <row r="13" spans="1:4" ht="15.75" thickBot="1">
      <c r="A13" s="5" t="s">
        <v>11</v>
      </c>
      <c r="B13" s="29"/>
      <c r="C13" s="9" t="s">
        <v>47</v>
      </c>
      <c r="D13" s="12">
        <f>B12*RESUMO!C4</f>
        <v>2700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0.11728395061728396</v>
      </c>
    </row>
    <row r="15" spans="1:4">
      <c r="A15" s="7" t="s">
        <v>48</v>
      </c>
      <c r="B15" s="30">
        <v>7</v>
      </c>
      <c r="C15" s="15" t="s">
        <v>14</v>
      </c>
      <c r="D15" s="16"/>
    </row>
    <row r="16" spans="1:4">
      <c r="A16" s="7" t="s">
        <v>15</v>
      </c>
      <c r="B16" s="28">
        <v>10000</v>
      </c>
      <c r="C16" s="9" t="s">
        <v>16</v>
      </c>
      <c r="D16" s="37">
        <f>RESUMO!G3</f>
        <v>2495.0813289999996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207.92344408333329</v>
      </c>
    </row>
    <row r="18" spans="1:4">
      <c r="A18" s="5" t="s">
        <v>19</v>
      </c>
      <c r="B18" s="8"/>
      <c r="C18" s="9" t="s">
        <v>20</v>
      </c>
      <c r="D18" s="18">
        <f>D16/12</f>
        <v>207.92344408333329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69.307814694444431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199.60650631999997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523.96707908999986</v>
      </c>
    </row>
    <row r="22" spans="1:4" ht="15.75" thickBot="1">
      <c r="A22" s="7" t="s">
        <v>27</v>
      </c>
      <c r="B22" s="28">
        <v>8000</v>
      </c>
      <c r="C22" s="7" t="s">
        <v>28</v>
      </c>
      <c r="D22" s="18">
        <f>D16+D17+D18+D19+D20+D21</f>
        <v>3703.8096172711107</v>
      </c>
    </row>
    <row r="23" spans="1:4" ht="15.75" thickBot="1">
      <c r="A23" s="10" t="s">
        <v>29</v>
      </c>
      <c r="B23" s="11">
        <f>B21/B22</f>
        <v>0.41249999999999998</v>
      </c>
      <c r="C23" s="7" t="s">
        <v>124</v>
      </c>
      <c r="D23" s="31">
        <v>8</v>
      </c>
    </row>
    <row r="24" spans="1:4" ht="15.75" thickBot="1">
      <c r="A24" s="5" t="s">
        <v>30</v>
      </c>
      <c r="B24" s="16"/>
      <c r="C24" s="7" t="s">
        <v>128</v>
      </c>
      <c r="D24" s="18">
        <f>D22/8*(D23)</f>
        <v>3703.8096172711107</v>
      </c>
    </row>
    <row r="25" spans="1:4" ht="15.75" thickBot="1">
      <c r="A25" s="7" t="s">
        <v>31</v>
      </c>
      <c r="B25" s="17">
        <f>D13*B23</f>
        <v>1113.75</v>
      </c>
      <c r="C25" s="13" t="s">
        <v>32</v>
      </c>
      <c r="D25" s="11">
        <f>D24/D13</f>
        <v>1.3717813397300409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49</v>
      </c>
    </row>
    <row r="27" spans="1:4">
      <c r="A27" s="10"/>
      <c r="B27" s="20"/>
      <c r="C27" s="7" t="s">
        <v>130</v>
      </c>
      <c r="D27" s="8">
        <f>RESUMO!I3</f>
        <v>0</v>
      </c>
    </row>
    <row r="28" spans="1:4">
      <c r="A28" s="10"/>
      <c r="B28" s="20"/>
      <c r="C28" s="7" t="s">
        <v>35</v>
      </c>
      <c r="D28" s="28">
        <v>800</v>
      </c>
    </row>
    <row r="29" spans="1:4">
      <c r="A29" s="10"/>
      <c r="B29" s="20"/>
      <c r="C29" s="7" t="s">
        <v>52</v>
      </c>
      <c r="D29" s="28">
        <v>700</v>
      </c>
    </row>
    <row r="30" spans="1:4">
      <c r="A30" s="10"/>
      <c r="B30" s="20"/>
      <c r="C30" s="7" t="s">
        <v>36</v>
      </c>
      <c r="D30" s="28">
        <v>150</v>
      </c>
    </row>
    <row r="31" spans="1:4">
      <c r="A31" s="10"/>
      <c r="B31" s="20"/>
      <c r="C31" s="7" t="s">
        <v>37</v>
      </c>
      <c r="D31" s="28">
        <v>1400</v>
      </c>
    </row>
    <row r="32" spans="1:4">
      <c r="A32" s="10"/>
      <c r="B32" s="20"/>
      <c r="C32" s="7" t="s">
        <v>38</v>
      </c>
      <c r="D32" s="8">
        <f>SUM(D27:D31)</f>
        <v>3050</v>
      </c>
    </row>
    <row r="33" spans="1:4" ht="15.75" thickBot="1">
      <c r="A33" s="10"/>
      <c r="B33" s="20"/>
      <c r="C33" s="10" t="s">
        <v>39</v>
      </c>
      <c r="D33" s="11">
        <f>(D32/10)/D13</f>
        <v>0.11296296296296296</v>
      </c>
    </row>
    <row r="34" spans="1:4" ht="16.5" thickTop="1" thickBot="1">
      <c r="A34" s="21" t="s">
        <v>40</v>
      </c>
      <c r="B34" s="22">
        <f>B23+B17+B11+B26</f>
        <v>2.1004999999999998</v>
      </c>
      <c r="C34" s="21" t="s">
        <v>41</v>
      </c>
      <c r="D34" s="22">
        <f>D33+D25+D14</f>
        <v>1.6020282533102879</v>
      </c>
    </row>
    <row r="35" spans="1:4" ht="16.5" thickTop="1" thickBot="1">
      <c r="A35" s="23" t="s">
        <v>42</v>
      </c>
      <c r="B35" s="24"/>
      <c r="C35" s="25"/>
      <c r="D35" s="26">
        <f>D34+B34</f>
        <v>3.7025282533102875</v>
      </c>
    </row>
    <row r="36" spans="1:4" ht="16.5" thickTop="1" thickBot="1">
      <c r="A36" s="23" t="s">
        <v>43</v>
      </c>
      <c r="B36" s="24"/>
      <c r="C36" s="25"/>
      <c r="D36" s="28">
        <v>20</v>
      </c>
    </row>
    <row r="37" spans="1:4" ht="16.5" thickTop="1" thickBot="1">
      <c r="A37" s="23" t="s">
        <v>44</v>
      </c>
      <c r="B37" s="24"/>
      <c r="C37" s="25"/>
      <c r="D37" s="27">
        <f>D35/100*D36+D35</f>
        <v>4.4430339039723448</v>
      </c>
    </row>
    <row r="38" spans="1:4" ht="15.75" thickTop="1">
      <c r="A38" s="1"/>
      <c r="B38" s="1"/>
      <c r="C38" s="1"/>
      <c r="D38" s="1"/>
    </row>
  </sheetData>
  <sheetProtection sheet="1" objects="1" scenarios="1"/>
  <customSheetViews>
    <customSheetView guid="{BD108985-86A0-4B5F-92C9-20C78F86C30A}">
      <selection activeCell="D14" sqref="D14"/>
      <pageMargins left="0.511811024" right="0.511811024" top="0.78740157499999996" bottom="0.78740157499999996" header="0.31496062000000002" footer="0.31496062000000002"/>
      <pageSetup paperSize="9" orientation="portrait" verticalDpi="0" r:id="rId1"/>
    </customSheetView>
  </customSheetViews>
  <mergeCells count="5">
    <mergeCell ref="A1:D1"/>
    <mergeCell ref="A2:D2"/>
    <mergeCell ref="A3:D3"/>
    <mergeCell ref="A4:D4"/>
    <mergeCell ref="A5:D6"/>
  </mergeCells>
  <pageMargins left="0.511811024" right="0.511811024" top="0.78740157499999996" bottom="0.78740157499999996" header="0.31496062000000002" footer="0.31496062000000002"/>
  <pageSetup paperSize="9" orientation="portrait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8442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RESUMO</vt:lpstr>
      <vt:lpstr>Item 01 M</vt:lpstr>
      <vt:lpstr>item 02 M</vt:lpstr>
      <vt:lpstr>Item 3 </vt:lpstr>
      <vt:lpstr>Item 4 R</vt:lpstr>
      <vt:lpstr>Item 5  R </vt:lpstr>
      <vt:lpstr>Item 6 R </vt:lpstr>
      <vt:lpstr>Item 7 Z</vt:lpstr>
      <vt:lpstr>Item 8 Z</vt:lpstr>
      <vt:lpstr>Item 9 Z</vt:lpstr>
      <vt:lpstr>Item 10</vt:lpstr>
      <vt:lpstr>Item 11</vt:lpstr>
      <vt:lpstr>Item 12</vt:lpstr>
      <vt:lpstr>Item 13</vt:lpstr>
      <vt:lpstr>item 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revision>42</cp:revision>
  <cp:lastPrinted>2025-05-12T17:56:39Z</cp:lastPrinted>
  <dcterms:created xsi:type="dcterms:W3CDTF">2015-05-07T11:14:26Z</dcterms:created>
  <dcterms:modified xsi:type="dcterms:W3CDTF">2025-05-12T18:27:36Z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